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4 Annual Update\Filed Documents\"/>
    </mc:Choice>
  </mc:AlternateContent>
  <xr:revisionPtr revIDLastSave="0" documentId="13_ncr:1_{D7D6A1CF-7298-4B9D-8628-558CDAE45F97}" xr6:coauthVersionLast="47" xr6:coauthVersionMax="47" xr10:uidLastSave="{00000000-0000-0000-0000-000000000000}"/>
  <bookViews>
    <workbookView xWindow="52680" yWindow="-120" windowWidth="24240" windowHeight="13020" tabRatio="887" xr2:uid="{00000000-000D-0000-FFFF-FFFF00000000}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029" sheetId="47" r:id="rId32"/>
    <sheet name="P.030" sheetId="48" r:id="rId33"/>
    <sheet name="P.031" sheetId="49" r:id="rId34"/>
    <sheet name="P.xyz - blank" sheetId="13" r:id="rId35"/>
  </sheet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4">'P.xyz - blank'!$A$1:$P$165</definedName>
    <definedName name="_xlnm.Print_Area" localSheetId="0">'PSO.Sch.11.Rates'!$A$1:$V$52</definedName>
    <definedName name="_xlnm.Print_Area" localSheetId="1">'PSO.WS.F.BPU.ATRR.Projected'!$A$1:$O$93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4">'P.xyz - blank'!#REF!</definedName>
    <definedName name="_xlnm.Print_Titles" localSheetId="1">'PSO.WS.F.BPU.ATRR.Projected'!$1:$6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7" l="1"/>
  <c r="D94" i="46"/>
  <c r="D93" i="46"/>
  <c r="D94" i="45"/>
  <c r="D93" i="45"/>
  <c r="D94" i="44"/>
  <c r="D93" i="44"/>
  <c r="D94" i="43"/>
  <c r="D93" i="43"/>
  <c r="D94" i="42"/>
  <c r="D93" i="42"/>
  <c r="D94" i="41"/>
  <c r="D93" i="41"/>
  <c r="D94" i="40"/>
  <c r="D93" i="40"/>
  <c r="D94" i="38"/>
  <c r="D93" i="38"/>
  <c r="D93" i="29"/>
  <c r="D94" i="28"/>
  <c r="D93" i="28"/>
  <c r="D93" i="27"/>
  <c r="D93" i="24" l="1"/>
  <c r="U50" i="17" l="1"/>
  <c r="M19" i="48" l="1"/>
  <c r="K19" i="48"/>
  <c r="L19" i="48" s="1"/>
  <c r="D92" i="45" l="1"/>
  <c r="D92" i="44"/>
  <c r="D92" i="43"/>
  <c r="D92" i="42"/>
  <c r="D92" i="41"/>
  <c r="D92" i="40"/>
  <c r="D92" i="39"/>
  <c r="D92" i="38"/>
  <c r="D92" i="31"/>
  <c r="D92" i="30"/>
  <c r="D92" i="29"/>
  <c r="D92" i="25"/>
  <c r="D92" i="22"/>
  <c r="D92" i="11"/>
  <c r="D92" i="10"/>
  <c r="D92" i="9"/>
  <c r="D92" i="8"/>
  <c r="D92" i="7"/>
  <c r="D92" i="5"/>
  <c r="D92" i="4"/>
  <c r="M18" i="49" l="1"/>
  <c r="K18" i="49"/>
  <c r="L18" i="49" s="1"/>
  <c r="M18" i="48"/>
  <c r="K18" i="48"/>
  <c r="L18" i="48" s="1"/>
  <c r="M20" i="46"/>
  <c r="K20" i="46"/>
  <c r="L20" i="46" s="1"/>
  <c r="M21" i="45"/>
  <c r="K21" i="45"/>
  <c r="L21" i="45" s="1"/>
  <c r="M21" i="44"/>
  <c r="K21" i="44"/>
  <c r="L21" i="44" s="1"/>
  <c r="M22" i="41"/>
  <c r="K22" i="41"/>
  <c r="L22" i="41" s="1"/>
  <c r="M22" i="40"/>
  <c r="K22" i="40"/>
  <c r="L22" i="40" s="1"/>
  <c r="M23" i="39"/>
  <c r="K23" i="39"/>
  <c r="L23" i="39" s="1"/>
  <c r="M23" i="38"/>
  <c r="K23" i="38"/>
  <c r="L23" i="38" s="1"/>
  <c r="M23" i="37"/>
  <c r="K23" i="37"/>
  <c r="L23" i="37" s="1"/>
  <c r="M26" i="31"/>
  <c r="K26" i="31"/>
  <c r="L26" i="31" s="1"/>
  <c r="M25" i="30"/>
  <c r="K25" i="30"/>
  <c r="L25" i="30" s="1"/>
  <c r="M26" i="29"/>
  <c r="K26" i="29"/>
  <c r="L26" i="29" s="1"/>
  <c r="M26" i="28"/>
  <c r="K26" i="28"/>
  <c r="L26" i="28" s="1"/>
  <c r="M27" i="27"/>
  <c r="K27" i="27"/>
  <c r="L27" i="27" s="1"/>
  <c r="M30" i="25"/>
  <c r="K30" i="25"/>
  <c r="L30" i="25" s="1"/>
  <c r="M28" i="24"/>
  <c r="K28" i="24"/>
  <c r="L28" i="24" s="1"/>
  <c r="M29" i="23"/>
  <c r="K29" i="23"/>
  <c r="L29" i="23" s="1"/>
  <c r="M30" i="22"/>
  <c r="K30" i="22"/>
  <c r="L30" i="22" s="1"/>
  <c r="M33" i="11"/>
  <c r="K33" i="11"/>
  <c r="L33" i="11" s="1"/>
  <c r="M34" i="10"/>
  <c r="K34" i="10"/>
  <c r="L34" i="10" s="1"/>
  <c r="M33" i="9"/>
  <c r="K33" i="9"/>
  <c r="L33" i="9" s="1"/>
  <c r="M32" i="8"/>
  <c r="K32" i="8"/>
  <c r="L32" i="8" s="1"/>
  <c r="D114" i="8"/>
  <c r="M34" i="7"/>
  <c r="K34" i="7"/>
  <c r="L34" i="7" s="1"/>
  <c r="M32" i="6"/>
  <c r="K32" i="6"/>
  <c r="L32" i="6" s="1"/>
  <c r="M31" i="5"/>
  <c r="K31" i="5"/>
  <c r="L31" i="5" s="1"/>
  <c r="M31" i="4"/>
  <c r="K31" i="4"/>
  <c r="L31" i="4" s="1"/>
  <c r="M31" i="3"/>
  <c r="K31" i="3"/>
  <c r="L31" i="3" s="1"/>
  <c r="N101" i="46" l="1"/>
  <c r="O101" i="46" s="1"/>
  <c r="L101" i="46"/>
  <c r="M101" i="46" s="1"/>
  <c r="N20" i="46"/>
  <c r="N102" i="45"/>
  <c r="O102" i="45" s="1"/>
  <c r="L102" i="45"/>
  <c r="M102" i="45" s="1"/>
  <c r="N21" i="45"/>
  <c r="N102" i="44"/>
  <c r="O102" i="44" s="1"/>
  <c r="L102" i="44"/>
  <c r="M102" i="44" s="1"/>
  <c r="M22" i="43"/>
  <c r="N22" i="43" s="1"/>
  <c r="K22" i="43"/>
  <c r="L22" i="43" s="1"/>
  <c r="M22" i="42"/>
  <c r="N22" i="42" s="1"/>
  <c r="K22" i="42"/>
  <c r="L22" i="42" s="1"/>
  <c r="N103" i="41"/>
  <c r="O103" i="41" s="1"/>
  <c r="L103" i="41"/>
  <c r="M103" i="41" s="1"/>
  <c r="N103" i="40"/>
  <c r="O103" i="40" s="1"/>
  <c r="L103" i="40"/>
  <c r="M103" i="40" s="1"/>
  <c r="N104" i="39"/>
  <c r="O104" i="39" s="1"/>
  <c r="L104" i="39"/>
  <c r="M104" i="39" s="1"/>
  <c r="N103" i="38"/>
  <c r="O103" i="38" s="1"/>
  <c r="L103" i="38"/>
  <c r="M103" i="38" s="1"/>
  <c r="N104" i="37"/>
  <c r="O104" i="37" s="1"/>
  <c r="L104" i="37"/>
  <c r="M104" i="37" s="1"/>
  <c r="N107" i="31"/>
  <c r="O107" i="31" s="1"/>
  <c r="L107" i="31"/>
  <c r="M107" i="31" s="1"/>
  <c r="N106" i="30"/>
  <c r="O106" i="30" s="1"/>
  <c r="L106" i="30"/>
  <c r="M106" i="30" s="1"/>
  <c r="N107" i="29"/>
  <c r="O107" i="29" s="1"/>
  <c r="L107" i="29"/>
  <c r="M107" i="29" s="1"/>
  <c r="N107" i="28"/>
  <c r="O107" i="28" s="1"/>
  <c r="L107" i="28"/>
  <c r="M107" i="28" s="1"/>
  <c r="N108" i="27"/>
  <c r="O108" i="27" s="1"/>
  <c r="L108" i="27"/>
  <c r="M108" i="27" s="1"/>
  <c r="N111" i="25"/>
  <c r="O111" i="25" s="1"/>
  <c r="L111" i="25"/>
  <c r="M111" i="25" s="1"/>
  <c r="N110" i="25"/>
  <c r="O110" i="25" s="1"/>
  <c r="L110" i="25"/>
  <c r="M110" i="25" s="1"/>
  <c r="N109" i="24"/>
  <c r="O109" i="24" s="1"/>
  <c r="L109" i="24"/>
  <c r="M109" i="24" s="1"/>
  <c r="N110" i="23"/>
  <c r="O110" i="23" s="1"/>
  <c r="L110" i="23"/>
  <c r="M110" i="23" s="1"/>
  <c r="N111" i="22"/>
  <c r="O111" i="22" s="1"/>
  <c r="L111" i="22"/>
  <c r="M111" i="22" s="1"/>
  <c r="N114" i="11"/>
  <c r="O114" i="11" s="1"/>
  <c r="L114" i="11"/>
  <c r="M114" i="11" s="1"/>
  <c r="N115" i="10"/>
  <c r="O115" i="10" s="1"/>
  <c r="L115" i="10"/>
  <c r="M115" i="10" s="1"/>
  <c r="N114" i="9"/>
  <c r="O114" i="9" s="1"/>
  <c r="L114" i="9"/>
  <c r="M114" i="9" s="1"/>
  <c r="N113" i="8"/>
  <c r="O113" i="8" s="1"/>
  <c r="L113" i="8"/>
  <c r="M113" i="8" s="1"/>
  <c r="N115" i="7"/>
  <c r="O115" i="7" s="1"/>
  <c r="L115" i="7"/>
  <c r="M115" i="7" s="1"/>
  <c r="N113" i="6"/>
  <c r="O113" i="6" s="1"/>
  <c r="L113" i="6"/>
  <c r="M113" i="6" s="1"/>
  <c r="N112" i="4"/>
  <c r="O112" i="4" s="1"/>
  <c r="L112" i="4"/>
  <c r="M112" i="4" s="1"/>
  <c r="N112" i="3"/>
  <c r="O112" i="3" s="1"/>
  <c r="L112" i="3"/>
  <c r="M112" i="3" s="1"/>
  <c r="O20" i="46" l="1"/>
  <c r="P103" i="38"/>
  <c r="P107" i="28"/>
  <c r="P107" i="31"/>
  <c r="O21" i="45"/>
  <c r="P115" i="10"/>
  <c r="P114" i="11"/>
  <c r="P110" i="25"/>
  <c r="P102" i="44"/>
  <c r="P110" i="23"/>
  <c r="P113" i="6"/>
  <c r="P106" i="30"/>
  <c r="P109" i="24"/>
  <c r="P108" i="27"/>
  <c r="P104" i="39"/>
  <c r="P115" i="7"/>
  <c r="P112" i="4"/>
  <c r="P113" i="8"/>
  <c r="P107" i="29"/>
  <c r="O22" i="43"/>
  <c r="O22" i="42"/>
  <c r="P103" i="41"/>
  <c r="P103" i="40"/>
  <c r="P104" i="37"/>
  <c r="P111" i="25"/>
  <c r="P111" i="22"/>
  <c r="P114" i="9"/>
  <c r="P112" i="3"/>
  <c r="W48" i="17" l="1"/>
  <c r="W47" i="17"/>
  <c r="P154" i="47"/>
  <c r="O154" i="47"/>
  <c r="M154" i="47"/>
  <c r="J154" i="47"/>
  <c r="P153" i="47"/>
  <c r="O153" i="47"/>
  <c r="M153" i="47"/>
  <c r="J153" i="47"/>
  <c r="P152" i="47"/>
  <c r="O152" i="47"/>
  <c r="M152" i="47"/>
  <c r="J152" i="47"/>
  <c r="P151" i="47"/>
  <c r="O151" i="47"/>
  <c r="M151" i="47"/>
  <c r="J151" i="47"/>
  <c r="P150" i="47"/>
  <c r="O150" i="47"/>
  <c r="M150" i="47"/>
  <c r="J150" i="47"/>
  <c r="P149" i="47"/>
  <c r="O149" i="47"/>
  <c r="M149" i="47"/>
  <c r="J149" i="47"/>
  <c r="P148" i="47"/>
  <c r="O148" i="47"/>
  <c r="M148" i="47"/>
  <c r="J148" i="47"/>
  <c r="P147" i="47"/>
  <c r="O147" i="47"/>
  <c r="M147" i="47"/>
  <c r="J147" i="47"/>
  <c r="P146" i="47"/>
  <c r="O146" i="47"/>
  <c r="M146" i="47"/>
  <c r="J146" i="47"/>
  <c r="P145" i="47"/>
  <c r="O145" i="47"/>
  <c r="M145" i="47"/>
  <c r="J145" i="47"/>
  <c r="P144" i="47"/>
  <c r="O144" i="47"/>
  <c r="M144" i="47"/>
  <c r="J144" i="47"/>
  <c r="P143" i="47"/>
  <c r="O143" i="47"/>
  <c r="M143" i="47"/>
  <c r="J143" i="47"/>
  <c r="P142" i="47"/>
  <c r="O142" i="47"/>
  <c r="M142" i="47"/>
  <c r="J142" i="47"/>
  <c r="P141" i="47"/>
  <c r="O141" i="47"/>
  <c r="M141" i="47"/>
  <c r="J141" i="47"/>
  <c r="P140" i="47"/>
  <c r="O140" i="47"/>
  <c r="M140" i="47"/>
  <c r="J140" i="47"/>
  <c r="P139" i="47"/>
  <c r="O139" i="47"/>
  <c r="M139" i="47"/>
  <c r="J139" i="47"/>
  <c r="P138" i="47"/>
  <c r="O138" i="47"/>
  <c r="M138" i="47"/>
  <c r="J138" i="47"/>
  <c r="P137" i="47"/>
  <c r="O137" i="47"/>
  <c r="M137" i="47"/>
  <c r="J137" i="47"/>
  <c r="P136" i="47"/>
  <c r="O136" i="47"/>
  <c r="M136" i="47"/>
  <c r="J136" i="47"/>
  <c r="P135" i="47"/>
  <c r="O135" i="47"/>
  <c r="M135" i="47"/>
  <c r="J135" i="47"/>
  <c r="P134" i="47"/>
  <c r="O134" i="47"/>
  <c r="M134" i="47"/>
  <c r="J134" i="47"/>
  <c r="P133" i="47"/>
  <c r="O133" i="47"/>
  <c r="M133" i="47"/>
  <c r="J133" i="47"/>
  <c r="P132" i="47"/>
  <c r="O132" i="47"/>
  <c r="M132" i="47"/>
  <c r="J132" i="47"/>
  <c r="P131" i="47"/>
  <c r="O131" i="47"/>
  <c r="M131" i="47"/>
  <c r="J131" i="47"/>
  <c r="O130" i="47"/>
  <c r="M130" i="47"/>
  <c r="O129" i="47"/>
  <c r="M129" i="47"/>
  <c r="O128" i="47"/>
  <c r="M128" i="47"/>
  <c r="O127" i="47"/>
  <c r="M127" i="47"/>
  <c r="O126" i="47"/>
  <c r="M126" i="47"/>
  <c r="O125" i="47"/>
  <c r="M125" i="47"/>
  <c r="O124" i="47"/>
  <c r="M124" i="47"/>
  <c r="O123" i="47"/>
  <c r="M123" i="47"/>
  <c r="O122" i="47"/>
  <c r="M122" i="47"/>
  <c r="O121" i="47"/>
  <c r="M121" i="47"/>
  <c r="O120" i="47"/>
  <c r="M120" i="47"/>
  <c r="O119" i="47"/>
  <c r="M119" i="47"/>
  <c r="O118" i="47"/>
  <c r="M118" i="47"/>
  <c r="O117" i="47"/>
  <c r="M117" i="47"/>
  <c r="O116" i="47"/>
  <c r="M116" i="47"/>
  <c r="O115" i="47"/>
  <c r="M115" i="47"/>
  <c r="O114" i="47"/>
  <c r="M114" i="47"/>
  <c r="O113" i="47"/>
  <c r="M113" i="47"/>
  <c r="O112" i="47"/>
  <c r="M112" i="47"/>
  <c r="O111" i="47"/>
  <c r="M111" i="47"/>
  <c r="O110" i="47"/>
  <c r="M110" i="47"/>
  <c r="O109" i="47"/>
  <c r="M109" i="47"/>
  <c r="O108" i="47"/>
  <c r="M108" i="47"/>
  <c r="O107" i="47"/>
  <c r="M107" i="47"/>
  <c r="O106" i="47"/>
  <c r="M106" i="47"/>
  <c r="O105" i="47"/>
  <c r="M105" i="47"/>
  <c r="O104" i="47"/>
  <c r="M104" i="47"/>
  <c r="O103" i="47"/>
  <c r="M103" i="47"/>
  <c r="O102" i="47"/>
  <c r="M102" i="47"/>
  <c r="O101" i="47"/>
  <c r="M101" i="47"/>
  <c r="O100" i="47"/>
  <c r="M100" i="47"/>
  <c r="D96" i="47"/>
  <c r="D94" i="47"/>
  <c r="L93" i="47"/>
  <c r="D93" i="47"/>
  <c r="D90" i="47"/>
  <c r="N72" i="47"/>
  <c r="L72" i="47"/>
  <c r="N71" i="47"/>
  <c r="L71" i="47"/>
  <c r="N70" i="47"/>
  <c r="L70" i="47"/>
  <c r="N69" i="47"/>
  <c r="L69" i="47"/>
  <c r="N68" i="47"/>
  <c r="L68" i="47"/>
  <c r="N67" i="47"/>
  <c r="L67" i="47"/>
  <c r="N66" i="47"/>
  <c r="L66" i="47"/>
  <c r="N65" i="47"/>
  <c r="L65" i="47"/>
  <c r="N64" i="47"/>
  <c r="L64" i="47"/>
  <c r="N63" i="47"/>
  <c r="L63" i="47"/>
  <c r="N62" i="47"/>
  <c r="L62" i="47"/>
  <c r="N61" i="47"/>
  <c r="L61" i="47"/>
  <c r="N60" i="47"/>
  <c r="L60" i="47"/>
  <c r="N59" i="47"/>
  <c r="L59" i="47"/>
  <c r="N58" i="47"/>
  <c r="L58" i="47"/>
  <c r="N57" i="47"/>
  <c r="L57" i="47"/>
  <c r="N56" i="47"/>
  <c r="L56" i="47"/>
  <c r="N55" i="47"/>
  <c r="L55" i="47"/>
  <c r="N54" i="47"/>
  <c r="L54" i="47"/>
  <c r="N53" i="47"/>
  <c r="L53" i="47"/>
  <c r="N52" i="47"/>
  <c r="L52" i="47"/>
  <c r="N51" i="47"/>
  <c r="L51" i="47"/>
  <c r="N50" i="47"/>
  <c r="L50" i="47"/>
  <c r="N49" i="47"/>
  <c r="L49" i="47"/>
  <c r="N48" i="47"/>
  <c r="L48" i="47"/>
  <c r="N47" i="47"/>
  <c r="L47" i="47"/>
  <c r="N46" i="47"/>
  <c r="L46" i="47"/>
  <c r="N45" i="47"/>
  <c r="L45" i="47"/>
  <c r="N44" i="47"/>
  <c r="L44" i="47"/>
  <c r="N43" i="47"/>
  <c r="L43" i="47"/>
  <c r="N42" i="47"/>
  <c r="L42" i="47"/>
  <c r="N41" i="47"/>
  <c r="L41" i="47"/>
  <c r="N40" i="47"/>
  <c r="L40" i="47"/>
  <c r="N39" i="47"/>
  <c r="L39" i="47"/>
  <c r="N38" i="47"/>
  <c r="L38" i="47"/>
  <c r="N37" i="47"/>
  <c r="L37" i="47"/>
  <c r="N36" i="47"/>
  <c r="L36" i="47"/>
  <c r="N35" i="47"/>
  <c r="L35" i="47"/>
  <c r="N34" i="47"/>
  <c r="L34" i="47"/>
  <c r="N33" i="47"/>
  <c r="L33" i="47"/>
  <c r="N32" i="47"/>
  <c r="L32" i="47"/>
  <c r="N31" i="47"/>
  <c r="L31" i="47"/>
  <c r="N30" i="47"/>
  <c r="L30" i="47"/>
  <c r="N29" i="47"/>
  <c r="L29" i="47"/>
  <c r="N28" i="47"/>
  <c r="L28" i="47"/>
  <c r="N27" i="47"/>
  <c r="L27" i="47"/>
  <c r="N26" i="47"/>
  <c r="L26" i="47"/>
  <c r="N25" i="47"/>
  <c r="L25" i="47"/>
  <c r="N24" i="47"/>
  <c r="L24" i="47"/>
  <c r="N23" i="47"/>
  <c r="L23" i="47"/>
  <c r="N22" i="47"/>
  <c r="L22" i="47"/>
  <c r="N21" i="47"/>
  <c r="L21" i="47"/>
  <c r="N20" i="47"/>
  <c r="L20" i="47"/>
  <c r="N19" i="47"/>
  <c r="L19" i="47"/>
  <c r="N18" i="47"/>
  <c r="L18" i="47"/>
  <c r="C17" i="47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C41" i="47" s="1"/>
  <c r="C42" i="47" s="1"/>
  <c r="C43" i="47" s="1"/>
  <c r="C44" i="47" s="1"/>
  <c r="C45" i="47" s="1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C60" i="47" s="1"/>
  <c r="C61" i="47" s="1"/>
  <c r="C62" i="47" s="1"/>
  <c r="C63" i="47" s="1"/>
  <c r="C64" i="47" s="1"/>
  <c r="C65" i="47" s="1"/>
  <c r="C66" i="47" s="1"/>
  <c r="C67" i="47" s="1"/>
  <c r="C68" i="47" s="1"/>
  <c r="C69" i="47" s="1"/>
  <c r="C70" i="47" s="1"/>
  <c r="C71" i="47" s="1"/>
  <c r="C72" i="47" s="1"/>
  <c r="K11" i="47"/>
  <c r="P83" i="47"/>
  <c r="P154" i="49"/>
  <c r="O154" i="49"/>
  <c r="M154" i="49"/>
  <c r="J154" i="49"/>
  <c r="P153" i="49"/>
  <c r="O153" i="49"/>
  <c r="M153" i="49"/>
  <c r="J153" i="49"/>
  <c r="P152" i="49"/>
  <c r="O152" i="49"/>
  <c r="M152" i="49"/>
  <c r="J152" i="49"/>
  <c r="P151" i="49"/>
  <c r="O151" i="49"/>
  <c r="M151" i="49"/>
  <c r="J151" i="49"/>
  <c r="P150" i="49"/>
  <c r="O150" i="49"/>
  <c r="M150" i="49"/>
  <c r="J150" i="49"/>
  <c r="P149" i="49"/>
  <c r="O149" i="49"/>
  <c r="M149" i="49"/>
  <c r="J149" i="49"/>
  <c r="P148" i="49"/>
  <c r="O148" i="49"/>
  <c r="M148" i="49"/>
  <c r="J148" i="49"/>
  <c r="P147" i="49"/>
  <c r="O147" i="49"/>
  <c r="M147" i="49"/>
  <c r="J147" i="49"/>
  <c r="P146" i="49"/>
  <c r="O146" i="49"/>
  <c r="M146" i="49"/>
  <c r="J146" i="49"/>
  <c r="P145" i="49"/>
  <c r="O145" i="49"/>
  <c r="M145" i="49"/>
  <c r="J145" i="49"/>
  <c r="P144" i="49"/>
  <c r="O144" i="49"/>
  <c r="M144" i="49"/>
  <c r="J144" i="49"/>
  <c r="P143" i="49"/>
  <c r="O143" i="49"/>
  <c r="M143" i="49"/>
  <c r="J143" i="49"/>
  <c r="P142" i="49"/>
  <c r="O142" i="49"/>
  <c r="M142" i="49"/>
  <c r="J142" i="49"/>
  <c r="P141" i="49"/>
  <c r="O141" i="49"/>
  <c r="M141" i="49"/>
  <c r="J141" i="49"/>
  <c r="P140" i="49"/>
  <c r="O140" i="49"/>
  <c r="M140" i="49"/>
  <c r="J140" i="49"/>
  <c r="P139" i="49"/>
  <c r="O139" i="49"/>
  <c r="M139" i="49"/>
  <c r="J139" i="49"/>
  <c r="P138" i="49"/>
  <c r="O138" i="49"/>
  <c r="M138" i="49"/>
  <c r="J138" i="49"/>
  <c r="P137" i="49"/>
  <c r="O137" i="49"/>
  <c r="M137" i="49"/>
  <c r="J137" i="49"/>
  <c r="P136" i="49"/>
  <c r="O136" i="49"/>
  <c r="M136" i="49"/>
  <c r="J136" i="49"/>
  <c r="P135" i="49"/>
  <c r="O135" i="49"/>
  <c r="M135" i="49"/>
  <c r="J135" i="49"/>
  <c r="P134" i="49"/>
  <c r="O134" i="49"/>
  <c r="M134" i="49"/>
  <c r="J134" i="49"/>
  <c r="P133" i="49"/>
  <c r="O133" i="49"/>
  <c r="M133" i="49"/>
  <c r="J133" i="49"/>
  <c r="P132" i="49"/>
  <c r="O132" i="49"/>
  <c r="M132" i="49"/>
  <c r="J132" i="49"/>
  <c r="P131" i="49"/>
  <c r="O131" i="49"/>
  <c r="M131" i="49"/>
  <c r="J131" i="49"/>
  <c r="O130" i="49"/>
  <c r="M130" i="49"/>
  <c r="O129" i="49"/>
  <c r="M129" i="49"/>
  <c r="O128" i="49"/>
  <c r="M128" i="49"/>
  <c r="O127" i="49"/>
  <c r="M127" i="49"/>
  <c r="O126" i="49"/>
  <c r="M126" i="49"/>
  <c r="O125" i="49"/>
  <c r="M125" i="49"/>
  <c r="O124" i="49"/>
  <c r="M124" i="49"/>
  <c r="O123" i="49"/>
  <c r="M123" i="49"/>
  <c r="O122" i="49"/>
  <c r="M122" i="49"/>
  <c r="O121" i="49"/>
  <c r="M121" i="49"/>
  <c r="O120" i="49"/>
  <c r="M120" i="49"/>
  <c r="O119" i="49"/>
  <c r="M119" i="49"/>
  <c r="O118" i="49"/>
  <c r="M118" i="49"/>
  <c r="O117" i="49"/>
  <c r="M117" i="49"/>
  <c r="O116" i="49"/>
  <c r="M116" i="49"/>
  <c r="O115" i="49"/>
  <c r="M115" i="49"/>
  <c r="O114" i="49"/>
  <c r="M114" i="49"/>
  <c r="O113" i="49"/>
  <c r="M113" i="49"/>
  <c r="O112" i="49"/>
  <c r="M112" i="49"/>
  <c r="O111" i="49"/>
  <c r="M111" i="49"/>
  <c r="O110" i="49"/>
  <c r="M110" i="49"/>
  <c r="O109" i="49"/>
  <c r="M109" i="49"/>
  <c r="O108" i="49"/>
  <c r="M108" i="49"/>
  <c r="O107" i="49"/>
  <c r="M107" i="49"/>
  <c r="O106" i="49"/>
  <c r="M106" i="49"/>
  <c r="O105" i="49"/>
  <c r="M105" i="49"/>
  <c r="O104" i="49"/>
  <c r="M104" i="49"/>
  <c r="O103" i="49"/>
  <c r="M103" i="49"/>
  <c r="O102" i="49"/>
  <c r="M102" i="49"/>
  <c r="O101" i="49"/>
  <c r="M101" i="49"/>
  <c r="D96" i="49"/>
  <c r="D94" i="49"/>
  <c r="L93" i="49"/>
  <c r="D93" i="49"/>
  <c r="D89" i="49"/>
  <c r="N72" i="49"/>
  <c r="L72" i="49"/>
  <c r="N71" i="49"/>
  <c r="L71" i="49"/>
  <c r="N70" i="49"/>
  <c r="L70" i="49"/>
  <c r="N69" i="49"/>
  <c r="L69" i="49"/>
  <c r="N68" i="49"/>
  <c r="L68" i="49"/>
  <c r="N67" i="49"/>
  <c r="L67" i="49"/>
  <c r="N66" i="49"/>
  <c r="L66" i="49"/>
  <c r="N65" i="49"/>
  <c r="L65" i="49"/>
  <c r="N64" i="49"/>
  <c r="L64" i="49"/>
  <c r="N63" i="49"/>
  <c r="L63" i="49"/>
  <c r="N62" i="49"/>
  <c r="L62" i="49"/>
  <c r="N61" i="49"/>
  <c r="L61" i="49"/>
  <c r="N60" i="49"/>
  <c r="L60" i="49"/>
  <c r="N59" i="49"/>
  <c r="L59" i="49"/>
  <c r="N58" i="49"/>
  <c r="L58" i="49"/>
  <c r="N57" i="49"/>
  <c r="L57" i="49"/>
  <c r="N56" i="49"/>
  <c r="L56" i="49"/>
  <c r="N55" i="49"/>
  <c r="L55" i="49"/>
  <c r="N54" i="49"/>
  <c r="L54" i="49"/>
  <c r="N53" i="49"/>
  <c r="L53" i="49"/>
  <c r="N52" i="49"/>
  <c r="L52" i="49"/>
  <c r="N51" i="49"/>
  <c r="L51" i="49"/>
  <c r="N50" i="49"/>
  <c r="L50" i="49"/>
  <c r="N49" i="49"/>
  <c r="L49" i="49"/>
  <c r="N48" i="49"/>
  <c r="L48" i="49"/>
  <c r="N47" i="49"/>
  <c r="L47" i="49"/>
  <c r="N46" i="49"/>
  <c r="L46" i="49"/>
  <c r="N45" i="49"/>
  <c r="L45" i="49"/>
  <c r="N44" i="49"/>
  <c r="L44" i="49"/>
  <c r="N43" i="49"/>
  <c r="L43" i="49"/>
  <c r="N42" i="49"/>
  <c r="L42" i="49"/>
  <c r="N41" i="49"/>
  <c r="L41" i="49"/>
  <c r="N40" i="49"/>
  <c r="L40" i="49"/>
  <c r="N39" i="49"/>
  <c r="L39" i="49"/>
  <c r="N38" i="49"/>
  <c r="L38" i="49"/>
  <c r="N37" i="49"/>
  <c r="L37" i="49"/>
  <c r="N36" i="49"/>
  <c r="L36" i="49"/>
  <c r="N35" i="49"/>
  <c r="L35" i="49"/>
  <c r="N34" i="49"/>
  <c r="L34" i="49"/>
  <c r="N33" i="49"/>
  <c r="L33" i="49"/>
  <c r="N32" i="49"/>
  <c r="L32" i="49"/>
  <c r="N31" i="49"/>
  <c r="L31" i="49"/>
  <c r="N30" i="49"/>
  <c r="L30" i="49"/>
  <c r="N29" i="49"/>
  <c r="L29" i="49"/>
  <c r="N28" i="49"/>
  <c r="L28" i="49"/>
  <c r="N27" i="49"/>
  <c r="L27" i="49"/>
  <c r="N26" i="49"/>
  <c r="L26" i="49"/>
  <c r="N25" i="49"/>
  <c r="L25" i="49"/>
  <c r="N24" i="49"/>
  <c r="L24" i="49"/>
  <c r="N23" i="49"/>
  <c r="L23" i="49"/>
  <c r="N22" i="49"/>
  <c r="L22" i="49"/>
  <c r="N21" i="49"/>
  <c r="L21" i="49"/>
  <c r="N20" i="49"/>
  <c r="L20" i="49"/>
  <c r="N19" i="49"/>
  <c r="L19" i="49"/>
  <c r="N18" i="49"/>
  <c r="C17" i="49"/>
  <c r="K11" i="49"/>
  <c r="P83" i="49"/>
  <c r="P154" i="48"/>
  <c r="O154" i="48"/>
  <c r="M154" i="48"/>
  <c r="J154" i="48"/>
  <c r="P153" i="48"/>
  <c r="O153" i="48"/>
  <c r="M153" i="48"/>
  <c r="J153" i="48"/>
  <c r="P152" i="48"/>
  <c r="O152" i="48"/>
  <c r="M152" i="48"/>
  <c r="J152" i="48"/>
  <c r="P151" i="48"/>
  <c r="O151" i="48"/>
  <c r="M151" i="48"/>
  <c r="J151" i="48"/>
  <c r="P150" i="48"/>
  <c r="O150" i="48"/>
  <c r="M150" i="48"/>
  <c r="J150" i="48"/>
  <c r="P149" i="48"/>
  <c r="O149" i="48"/>
  <c r="M149" i="48"/>
  <c r="J149" i="48"/>
  <c r="P148" i="48"/>
  <c r="O148" i="48"/>
  <c r="M148" i="48"/>
  <c r="J148" i="48"/>
  <c r="P147" i="48"/>
  <c r="O147" i="48"/>
  <c r="M147" i="48"/>
  <c r="J147" i="48"/>
  <c r="P146" i="48"/>
  <c r="O146" i="48"/>
  <c r="M146" i="48"/>
  <c r="J146" i="48"/>
  <c r="P145" i="48"/>
  <c r="O145" i="48"/>
  <c r="M145" i="48"/>
  <c r="J145" i="48"/>
  <c r="P144" i="48"/>
  <c r="O144" i="48"/>
  <c r="M144" i="48"/>
  <c r="J144" i="48"/>
  <c r="P143" i="48"/>
  <c r="O143" i="48"/>
  <c r="M143" i="48"/>
  <c r="J143" i="48"/>
  <c r="P142" i="48"/>
  <c r="O142" i="48"/>
  <c r="M142" i="48"/>
  <c r="J142" i="48"/>
  <c r="P141" i="48"/>
  <c r="O141" i="48"/>
  <c r="M141" i="48"/>
  <c r="J141" i="48"/>
  <c r="P140" i="48"/>
  <c r="O140" i="48"/>
  <c r="M140" i="48"/>
  <c r="J140" i="48"/>
  <c r="P139" i="48"/>
  <c r="O139" i="48"/>
  <c r="M139" i="48"/>
  <c r="J139" i="48"/>
  <c r="P138" i="48"/>
  <c r="O138" i="48"/>
  <c r="M138" i="48"/>
  <c r="J138" i="48"/>
  <c r="P137" i="48"/>
  <c r="O137" i="48"/>
  <c r="M137" i="48"/>
  <c r="J137" i="48"/>
  <c r="P136" i="48"/>
  <c r="O136" i="48"/>
  <c r="M136" i="48"/>
  <c r="J136" i="48"/>
  <c r="P135" i="48"/>
  <c r="O135" i="48"/>
  <c r="M135" i="48"/>
  <c r="J135" i="48"/>
  <c r="P134" i="48"/>
  <c r="O134" i="48"/>
  <c r="M134" i="48"/>
  <c r="J134" i="48"/>
  <c r="P133" i="48"/>
  <c r="O133" i="48"/>
  <c r="M133" i="48"/>
  <c r="J133" i="48"/>
  <c r="P132" i="48"/>
  <c r="O132" i="48"/>
  <c r="M132" i="48"/>
  <c r="J132" i="48"/>
  <c r="P131" i="48"/>
  <c r="O131" i="48"/>
  <c r="M131" i="48"/>
  <c r="J131" i="48"/>
  <c r="O130" i="48"/>
  <c r="M130" i="48"/>
  <c r="O129" i="48"/>
  <c r="M129" i="48"/>
  <c r="O128" i="48"/>
  <c r="M128" i="48"/>
  <c r="O127" i="48"/>
  <c r="M127" i="48"/>
  <c r="O126" i="48"/>
  <c r="M126" i="48"/>
  <c r="O125" i="48"/>
  <c r="M125" i="48"/>
  <c r="O124" i="48"/>
  <c r="M124" i="48"/>
  <c r="O123" i="48"/>
  <c r="M123" i="48"/>
  <c r="O122" i="48"/>
  <c r="M122" i="48"/>
  <c r="O121" i="48"/>
  <c r="M121" i="48"/>
  <c r="O120" i="48"/>
  <c r="M120" i="48"/>
  <c r="O119" i="48"/>
  <c r="M119" i="48"/>
  <c r="O118" i="48"/>
  <c r="M118" i="48"/>
  <c r="O117" i="48"/>
  <c r="M117" i="48"/>
  <c r="O116" i="48"/>
  <c r="M116" i="48"/>
  <c r="O115" i="48"/>
  <c r="M115" i="48"/>
  <c r="O114" i="48"/>
  <c r="M114" i="48"/>
  <c r="O113" i="48"/>
  <c r="M113" i="48"/>
  <c r="O112" i="48"/>
  <c r="M112" i="48"/>
  <c r="O111" i="48"/>
  <c r="M111" i="48"/>
  <c r="O110" i="48"/>
  <c r="M110" i="48"/>
  <c r="O109" i="48"/>
  <c r="M109" i="48"/>
  <c r="O108" i="48"/>
  <c r="M108" i="48"/>
  <c r="O107" i="48"/>
  <c r="M107" i="48"/>
  <c r="O106" i="48"/>
  <c r="M106" i="48"/>
  <c r="O105" i="48"/>
  <c r="M105" i="48"/>
  <c r="O104" i="48"/>
  <c r="M104" i="48"/>
  <c r="O103" i="48"/>
  <c r="M103" i="48"/>
  <c r="O102" i="48"/>
  <c r="M102" i="48"/>
  <c r="O101" i="48"/>
  <c r="M101" i="48"/>
  <c r="D96" i="48"/>
  <c r="D94" i="48"/>
  <c r="L93" i="48"/>
  <c r="D93" i="48"/>
  <c r="D91" i="48"/>
  <c r="D89" i="48"/>
  <c r="N72" i="48"/>
  <c r="L72" i="48"/>
  <c r="N71" i="48"/>
  <c r="L71" i="48"/>
  <c r="N70" i="48"/>
  <c r="L70" i="48"/>
  <c r="N69" i="48"/>
  <c r="L69" i="48"/>
  <c r="N68" i="48"/>
  <c r="L68" i="48"/>
  <c r="N67" i="48"/>
  <c r="L67" i="48"/>
  <c r="N66" i="48"/>
  <c r="L66" i="48"/>
  <c r="N65" i="48"/>
  <c r="L65" i="48"/>
  <c r="N64" i="48"/>
  <c r="L64" i="48"/>
  <c r="N63" i="48"/>
  <c r="L63" i="48"/>
  <c r="N62" i="48"/>
  <c r="L62" i="48"/>
  <c r="N61" i="48"/>
  <c r="L61" i="48"/>
  <c r="N60" i="48"/>
  <c r="L60" i="48"/>
  <c r="N59" i="48"/>
  <c r="L59" i="48"/>
  <c r="N58" i="48"/>
  <c r="L58" i="48"/>
  <c r="N57" i="48"/>
  <c r="L57" i="48"/>
  <c r="N56" i="48"/>
  <c r="L56" i="48"/>
  <c r="N55" i="48"/>
  <c r="L55" i="48"/>
  <c r="N54" i="48"/>
  <c r="L54" i="48"/>
  <c r="N53" i="48"/>
  <c r="L53" i="48"/>
  <c r="N52" i="48"/>
  <c r="L52" i="48"/>
  <c r="N51" i="48"/>
  <c r="L51" i="48"/>
  <c r="N50" i="48"/>
  <c r="L50" i="48"/>
  <c r="N49" i="48"/>
  <c r="L49" i="48"/>
  <c r="N48" i="48"/>
  <c r="L48" i="48"/>
  <c r="N47" i="48"/>
  <c r="L47" i="48"/>
  <c r="N46" i="48"/>
  <c r="L46" i="48"/>
  <c r="N45" i="48"/>
  <c r="L45" i="48"/>
  <c r="N44" i="48"/>
  <c r="L44" i="48"/>
  <c r="N43" i="48"/>
  <c r="L43" i="48"/>
  <c r="N42" i="48"/>
  <c r="L42" i="48"/>
  <c r="N41" i="48"/>
  <c r="L41" i="48"/>
  <c r="N40" i="48"/>
  <c r="L40" i="48"/>
  <c r="N39" i="48"/>
  <c r="L39" i="48"/>
  <c r="N38" i="48"/>
  <c r="L38" i="48"/>
  <c r="N37" i="48"/>
  <c r="L37" i="48"/>
  <c r="N36" i="48"/>
  <c r="L36" i="48"/>
  <c r="N35" i="48"/>
  <c r="L35" i="48"/>
  <c r="N34" i="48"/>
  <c r="L34" i="48"/>
  <c r="N33" i="48"/>
  <c r="L33" i="48"/>
  <c r="N32" i="48"/>
  <c r="L32" i="48"/>
  <c r="N31" i="48"/>
  <c r="L31" i="48"/>
  <c r="N30" i="48"/>
  <c r="L30" i="48"/>
  <c r="N29" i="48"/>
  <c r="L29" i="48"/>
  <c r="N28" i="48"/>
  <c r="L28" i="48"/>
  <c r="N27" i="48"/>
  <c r="L27" i="48"/>
  <c r="N26" i="48"/>
  <c r="L26" i="48"/>
  <c r="N25" i="48"/>
  <c r="L25" i="48"/>
  <c r="N24" i="48"/>
  <c r="L24" i="48"/>
  <c r="N23" i="48"/>
  <c r="L23" i="48"/>
  <c r="N22" i="48"/>
  <c r="L22" i="48"/>
  <c r="N21" i="48"/>
  <c r="L21" i="48"/>
  <c r="N20" i="48"/>
  <c r="L20" i="48"/>
  <c r="N19" i="48"/>
  <c r="N18" i="48"/>
  <c r="C17" i="48"/>
  <c r="K11" i="48"/>
  <c r="P83" i="48"/>
  <c r="N100" i="46"/>
  <c r="L100" i="46"/>
  <c r="M100" i="46" s="1"/>
  <c r="M19" i="46"/>
  <c r="K19" i="46"/>
  <c r="L19" i="46" s="1"/>
  <c r="N101" i="45"/>
  <c r="L101" i="45"/>
  <c r="M101" i="45" s="1"/>
  <c r="M20" i="45"/>
  <c r="K20" i="45"/>
  <c r="L20" i="45" s="1"/>
  <c r="N101" i="44"/>
  <c r="L101" i="44"/>
  <c r="M101" i="44" s="1"/>
  <c r="M20" i="44"/>
  <c r="K20" i="44"/>
  <c r="L20" i="44" s="1"/>
  <c r="N102" i="43"/>
  <c r="L102" i="43"/>
  <c r="M102" i="43" s="1"/>
  <c r="M21" i="43"/>
  <c r="K21" i="43"/>
  <c r="L21" i="43" s="1"/>
  <c r="N102" i="42"/>
  <c r="L102" i="42"/>
  <c r="M102" i="42" s="1"/>
  <c r="M21" i="42"/>
  <c r="K21" i="42"/>
  <c r="L21" i="42" s="1"/>
  <c r="N102" i="41"/>
  <c r="L102" i="41"/>
  <c r="M102" i="41" s="1"/>
  <c r="M21" i="41"/>
  <c r="K21" i="41"/>
  <c r="L21" i="41" s="1"/>
  <c r="N102" i="40"/>
  <c r="L102" i="40"/>
  <c r="M102" i="40" s="1"/>
  <c r="M21" i="40"/>
  <c r="K21" i="40"/>
  <c r="L21" i="40" s="1"/>
  <c r="N103" i="39"/>
  <c r="L103" i="39"/>
  <c r="M103" i="39" s="1"/>
  <c r="M22" i="39"/>
  <c r="K22" i="39"/>
  <c r="L22" i="39" s="1"/>
  <c r="N102" i="38"/>
  <c r="L102" i="38"/>
  <c r="M102" i="38" s="1"/>
  <c r="M22" i="38"/>
  <c r="K22" i="38"/>
  <c r="L22" i="38" s="1"/>
  <c r="N103" i="37"/>
  <c r="L103" i="37"/>
  <c r="M103" i="37" s="1"/>
  <c r="M22" i="37"/>
  <c r="K22" i="37"/>
  <c r="L22" i="37" s="1"/>
  <c r="N106" i="31"/>
  <c r="L106" i="31"/>
  <c r="M106" i="31" s="1"/>
  <c r="M25" i="31"/>
  <c r="K25" i="31"/>
  <c r="L25" i="31" s="1"/>
  <c r="N105" i="30"/>
  <c r="L105" i="30"/>
  <c r="M105" i="30" s="1"/>
  <c r="M24" i="30"/>
  <c r="K24" i="30"/>
  <c r="L24" i="30" s="1"/>
  <c r="N106" i="29"/>
  <c r="L106" i="29"/>
  <c r="M106" i="29" s="1"/>
  <c r="M25" i="29"/>
  <c r="K25" i="29"/>
  <c r="L25" i="29" s="1"/>
  <c r="N106" i="28"/>
  <c r="L106" i="28"/>
  <c r="M106" i="28" s="1"/>
  <c r="M25" i="28"/>
  <c r="K25" i="28"/>
  <c r="L25" i="28" s="1"/>
  <c r="N107" i="27"/>
  <c r="L107" i="27"/>
  <c r="M107" i="27" s="1"/>
  <c r="M26" i="27"/>
  <c r="K26" i="27"/>
  <c r="L26" i="27" s="1"/>
  <c r="M29" i="25"/>
  <c r="K29" i="25"/>
  <c r="L29" i="25" s="1"/>
  <c r="N108" i="24"/>
  <c r="L108" i="24"/>
  <c r="M108" i="24" s="1"/>
  <c r="M27" i="24"/>
  <c r="K27" i="24"/>
  <c r="L27" i="24" s="1"/>
  <c r="N109" i="23"/>
  <c r="L109" i="23"/>
  <c r="M109" i="23" s="1"/>
  <c r="M28" i="23"/>
  <c r="K28" i="23"/>
  <c r="L28" i="23" s="1"/>
  <c r="N110" i="22"/>
  <c r="L110" i="22"/>
  <c r="M110" i="22" s="1"/>
  <c r="M29" i="22"/>
  <c r="K29" i="22"/>
  <c r="L29" i="22" s="1"/>
  <c r="N113" i="11"/>
  <c r="L113" i="11"/>
  <c r="M113" i="11" s="1"/>
  <c r="M32" i="11"/>
  <c r="K32" i="11"/>
  <c r="L32" i="11" s="1"/>
  <c r="N114" i="10"/>
  <c r="L114" i="10"/>
  <c r="M114" i="10" s="1"/>
  <c r="M33" i="10"/>
  <c r="K33" i="10"/>
  <c r="L33" i="10" s="1"/>
  <c r="N113" i="9"/>
  <c r="L113" i="9"/>
  <c r="M113" i="9" s="1"/>
  <c r="M32" i="9"/>
  <c r="K32" i="9"/>
  <c r="L32" i="9" s="1"/>
  <c r="N112" i="8"/>
  <c r="L112" i="8"/>
  <c r="M112" i="8" s="1"/>
  <c r="M31" i="8"/>
  <c r="K31" i="8"/>
  <c r="L31" i="8" s="1"/>
  <c r="N114" i="7"/>
  <c r="L114" i="7"/>
  <c r="M114" i="7" s="1"/>
  <c r="M33" i="7"/>
  <c r="K33" i="7"/>
  <c r="L33" i="7" s="1"/>
  <c r="N112" i="6"/>
  <c r="L112" i="6"/>
  <c r="M112" i="6" s="1"/>
  <c r="M31" i="6"/>
  <c r="K31" i="6"/>
  <c r="L31" i="6" s="1"/>
  <c r="N111" i="5"/>
  <c r="L111" i="5"/>
  <c r="M111" i="5" s="1"/>
  <c r="M30" i="5"/>
  <c r="K30" i="5"/>
  <c r="L30" i="5" s="1"/>
  <c r="N111" i="4"/>
  <c r="L111" i="4"/>
  <c r="M111" i="4" s="1"/>
  <c r="N111" i="3"/>
  <c r="L111" i="3"/>
  <c r="M111" i="3" s="1"/>
  <c r="M30" i="4"/>
  <c r="K30" i="4"/>
  <c r="L30" i="4" s="1"/>
  <c r="M30" i="3"/>
  <c r="K30" i="3"/>
  <c r="L30" i="3" s="1"/>
  <c r="O72" i="48" l="1"/>
  <c r="P103" i="48"/>
  <c r="O58" i="49"/>
  <c r="P117" i="49"/>
  <c r="P125" i="49"/>
  <c r="O23" i="47"/>
  <c r="P116" i="49"/>
  <c r="O63" i="47"/>
  <c r="O65" i="47"/>
  <c r="O71" i="47"/>
  <c r="P120" i="49"/>
  <c r="P124" i="49"/>
  <c r="O57" i="47"/>
  <c r="O63" i="49"/>
  <c r="O66" i="49"/>
  <c r="O72" i="49"/>
  <c r="O26" i="47"/>
  <c r="O62" i="47"/>
  <c r="P102" i="47"/>
  <c r="P104" i="47"/>
  <c r="O70" i="49"/>
  <c r="P101" i="47"/>
  <c r="P105" i="47"/>
  <c r="P113" i="47"/>
  <c r="P115" i="47"/>
  <c r="P117" i="47"/>
  <c r="O59" i="49"/>
  <c r="P126" i="49"/>
  <c r="O28" i="47"/>
  <c r="O34" i="47"/>
  <c r="O38" i="47"/>
  <c r="O40" i="47"/>
  <c r="O42" i="47"/>
  <c r="O46" i="47"/>
  <c r="O50" i="47"/>
  <c r="O70" i="47"/>
  <c r="P107" i="48"/>
  <c r="O24" i="49"/>
  <c r="O40" i="49"/>
  <c r="O48" i="49"/>
  <c r="P105" i="49"/>
  <c r="O27" i="47"/>
  <c r="O31" i="47"/>
  <c r="O33" i="47"/>
  <c r="O39" i="47"/>
  <c r="O43" i="47"/>
  <c r="O51" i="47"/>
  <c r="O55" i="47"/>
  <c r="P108" i="47"/>
  <c r="O24" i="48"/>
  <c r="O40" i="48"/>
  <c r="O54" i="48"/>
  <c r="P105" i="48"/>
  <c r="O19" i="49"/>
  <c r="O23" i="49"/>
  <c r="O35" i="49"/>
  <c r="O39" i="49"/>
  <c r="P109" i="49"/>
  <c r="P113" i="49"/>
  <c r="P128" i="49"/>
  <c r="O21" i="47"/>
  <c r="P106" i="47"/>
  <c r="P115" i="48"/>
  <c r="P121" i="49"/>
  <c r="O29" i="47"/>
  <c r="O37" i="47"/>
  <c r="O41" i="47"/>
  <c r="O49" i="47"/>
  <c r="O58" i="47"/>
  <c r="P103" i="47"/>
  <c r="P110" i="47"/>
  <c r="P112" i="47"/>
  <c r="P114" i="47"/>
  <c r="P116" i="47"/>
  <c r="O54" i="47"/>
  <c r="O69" i="47"/>
  <c r="P111" i="48"/>
  <c r="O67" i="48"/>
  <c r="O71" i="48"/>
  <c r="P102" i="48"/>
  <c r="O28" i="49"/>
  <c r="O50" i="49"/>
  <c r="O54" i="49"/>
  <c r="O60" i="49"/>
  <c r="O65" i="49"/>
  <c r="O71" i="49"/>
  <c r="P104" i="49"/>
  <c r="P110" i="49"/>
  <c r="P112" i="49"/>
  <c r="P118" i="49"/>
  <c r="P129" i="49"/>
  <c r="O18" i="47"/>
  <c r="O22" i="47"/>
  <c r="O24" i="47"/>
  <c r="O59" i="47"/>
  <c r="O64" i="47"/>
  <c r="O66" i="47"/>
  <c r="O72" i="47"/>
  <c r="P100" i="47"/>
  <c r="P118" i="47"/>
  <c r="P122" i="47"/>
  <c r="P126" i="47"/>
  <c r="O44" i="48"/>
  <c r="O26" i="49"/>
  <c r="O51" i="49"/>
  <c r="O49" i="49"/>
  <c r="P107" i="49"/>
  <c r="O25" i="47"/>
  <c r="O30" i="47"/>
  <c r="O56" i="47"/>
  <c r="O61" i="47"/>
  <c r="P107" i="47"/>
  <c r="P121" i="47"/>
  <c r="P123" i="47"/>
  <c r="P125" i="47"/>
  <c r="P127" i="47"/>
  <c r="P129" i="47"/>
  <c r="O19" i="48"/>
  <c r="O33" i="48"/>
  <c r="O35" i="48"/>
  <c r="O62" i="48"/>
  <c r="O70" i="48"/>
  <c r="P114" i="48"/>
  <c r="P116" i="48"/>
  <c r="P118" i="48"/>
  <c r="O25" i="49"/>
  <c r="O32" i="49"/>
  <c r="O42" i="49"/>
  <c r="P114" i="49"/>
  <c r="P122" i="49"/>
  <c r="P130" i="49"/>
  <c r="O48" i="47"/>
  <c r="O53" i="47"/>
  <c r="P109" i="47"/>
  <c r="O18" i="48"/>
  <c r="O22" i="48"/>
  <c r="O30" i="48"/>
  <c r="O34" i="48"/>
  <c r="O38" i="48"/>
  <c r="O29" i="49"/>
  <c r="O41" i="49"/>
  <c r="O19" i="47"/>
  <c r="O35" i="47"/>
  <c r="O45" i="47"/>
  <c r="O47" i="47"/>
  <c r="O67" i="47"/>
  <c r="P111" i="47"/>
  <c r="P130" i="47"/>
  <c r="O56" i="48"/>
  <c r="O60" i="48"/>
  <c r="O18" i="49"/>
  <c r="O20" i="49"/>
  <c r="O43" i="49"/>
  <c r="O47" i="49"/>
  <c r="P106" i="49"/>
  <c r="P119" i="49"/>
  <c r="P127" i="49"/>
  <c r="B18" i="49"/>
  <c r="C18" i="49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42" i="49" s="1"/>
  <c r="C43" i="49" s="1"/>
  <c r="C44" i="49" s="1"/>
  <c r="C45" i="49" s="1"/>
  <c r="C46" i="49" s="1"/>
  <c r="C47" i="49" s="1"/>
  <c r="C48" i="49" s="1"/>
  <c r="C49" i="49" s="1"/>
  <c r="C50" i="49" s="1"/>
  <c r="C51" i="49" s="1"/>
  <c r="C52" i="49" s="1"/>
  <c r="C53" i="49" s="1"/>
  <c r="C54" i="49" s="1"/>
  <c r="C55" i="49" s="1"/>
  <c r="C56" i="49" s="1"/>
  <c r="C57" i="49" s="1"/>
  <c r="C58" i="49" s="1"/>
  <c r="C59" i="49" s="1"/>
  <c r="C60" i="49" s="1"/>
  <c r="C61" i="49" s="1"/>
  <c r="C62" i="49" s="1"/>
  <c r="C63" i="49" s="1"/>
  <c r="C64" i="49" s="1"/>
  <c r="C65" i="49" s="1"/>
  <c r="C66" i="49" s="1"/>
  <c r="C67" i="49" s="1"/>
  <c r="C68" i="49" s="1"/>
  <c r="C69" i="49" s="1"/>
  <c r="C70" i="49" s="1"/>
  <c r="C71" i="49" s="1"/>
  <c r="C72" i="49" s="1"/>
  <c r="O20" i="47"/>
  <c r="O27" i="49"/>
  <c r="O34" i="49"/>
  <c r="O36" i="49"/>
  <c r="O55" i="49"/>
  <c r="P115" i="49"/>
  <c r="P123" i="49"/>
  <c r="O47" i="48"/>
  <c r="O49" i="48"/>
  <c r="O66" i="48"/>
  <c r="P106" i="48"/>
  <c r="P113" i="48"/>
  <c r="O31" i="49"/>
  <c r="O33" i="49"/>
  <c r="O44" i="49"/>
  <c r="O46" i="49"/>
  <c r="O52" i="49"/>
  <c r="O57" i="49"/>
  <c r="O62" i="49"/>
  <c r="O64" i="49"/>
  <c r="O67" i="49"/>
  <c r="O69" i="49"/>
  <c r="P101" i="49"/>
  <c r="P103" i="49"/>
  <c r="P108" i="49"/>
  <c r="P111" i="49"/>
  <c r="O32" i="47"/>
  <c r="O36" i="47"/>
  <c r="O44" i="47"/>
  <c r="O52" i="47"/>
  <c r="O60" i="47"/>
  <c r="O68" i="47"/>
  <c r="P119" i="47"/>
  <c r="O28" i="48"/>
  <c r="O48" i="48"/>
  <c r="O52" i="48"/>
  <c r="O55" i="48"/>
  <c r="O59" i="48"/>
  <c r="P108" i="48"/>
  <c r="P110" i="48"/>
  <c r="O21" i="49"/>
  <c r="O37" i="49"/>
  <c r="O56" i="49"/>
  <c r="O68" i="49"/>
  <c r="P102" i="49"/>
  <c r="C99" i="47"/>
  <c r="P120" i="47"/>
  <c r="P124" i="47"/>
  <c r="P128" i="47"/>
  <c r="O20" i="48"/>
  <c r="O39" i="48"/>
  <c r="O61" i="48"/>
  <c r="P124" i="48"/>
  <c r="P128" i="48"/>
  <c r="O58" i="48"/>
  <c r="O63" i="48"/>
  <c r="P101" i="48"/>
  <c r="P104" i="48"/>
  <c r="P109" i="48"/>
  <c r="P112" i="48"/>
  <c r="P117" i="48"/>
  <c r="O22" i="49"/>
  <c r="O30" i="49"/>
  <c r="O38" i="49"/>
  <c r="O37" i="48"/>
  <c r="O46" i="48"/>
  <c r="O50" i="48"/>
  <c r="P122" i="48"/>
  <c r="P126" i="48"/>
  <c r="P130" i="48"/>
  <c r="O21" i="48"/>
  <c r="O23" i="48"/>
  <c r="O32" i="48"/>
  <c r="O36" i="48"/>
  <c r="O51" i="48"/>
  <c r="O53" i="48"/>
  <c r="O64" i="48"/>
  <c r="O69" i="48"/>
  <c r="O25" i="48"/>
  <c r="O27" i="48"/>
  <c r="O41" i="48"/>
  <c r="O43" i="48"/>
  <c r="O45" i="49"/>
  <c r="O53" i="49"/>
  <c r="O61" i="49"/>
  <c r="C99" i="49"/>
  <c r="O26" i="48"/>
  <c r="O29" i="48"/>
  <c r="O31" i="48"/>
  <c r="O42" i="48"/>
  <c r="O45" i="48"/>
  <c r="O57" i="48"/>
  <c r="O65" i="48"/>
  <c r="P121" i="48"/>
  <c r="P123" i="48"/>
  <c r="P125" i="48"/>
  <c r="P127" i="48"/>
  <c r="P129" i="48"/>
  <c r="C18" i="48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41" i="48" s="1"/>
  <c r="C42" i="48" s="1"/>
  <c r="C43" i="48" s="1"/>
  <c r="C44" i="48" s="1"/>
  <c r="C45" i="48" s="1"/>
  <c r="C46" i="48" s="1"/>
  <c r="C47" i="48" s="1"/>
  <c r="C48" i="48" s="1"/>
  <c r="C49" i="48" s="1"/>
  <c r="C50" i="48" s="1"/>
  <c r="C51" i="48" s="1"/>
  <c r="C52" i="48" s="1"/>
  <c r="C53" i="48" s="1"/>
  <c r="C54" i="48" s="1"/>
  <c r="C55" i="48" s="1"/>
  <c r="C56" i="48" s="1"/>
  <c r="C57" i="48" s="1"/>
  <c r="C58" i="48" s="1"/>
  <c r="C59" i="48" s="1"/>
  <c r="C60" i="48" s="1"/>
  <c r="C61" i="48" s="1"/>
  <c r="C62" i="48" s="1"/>
  <c r="C63" i="48" s="1"/>
  <c r="C64" i="48" s="1"/>
  <c r="C65" i="48" s="1"/>
  <c r="C66" i="48" s="1"/>
  <c r="C67" i="48" s="1"/>
  <c r="C68" i="48" s="1"/>
  <c r="C69" i="48" s="1"/>
  <c r="C70" i="48" s="1"/>
  <c r="C71" i="48" s="1"/>
  <c r="C72" i="48" s="1"/>
  <c r="O68" i="48"/>
  <c r="C99" i="48"/>
  <c r="C100" i="48" s="1"/>
  <c r="C101" i="48" s="1"/>
  <c r="C102" i="48" s="1"/>
  <c r="C103" i="48" s="1"/>
  <c r="C104" i="48" s="1"/>
  <c r="C105" i="48" s="1"/>
  <c r="C106" i="48" s="1"/>
  <c r="C107" i="48" s="1"/>
  <c r="C108" i="48" s="1"/>
  <c r="C109" i="48" s="1"/>
  <c r="C110" i="48" s="1"/>
  <c r="C111" i="48" s="1"/>
  <c r="C112" i="48" s="1"/>
  <c r="C113" i="48" s="1"/>
  <c r="C114" i="48" s="1"/>
  <c r="C115" i="48" s="1"/>
  <c r="C116" i="48" s="1"/>
  <c r="C117" i="48" s="1"/>
  <c r="C118" i="48" s="1"/>
  <c r="C119" i="48" s="1"/>
  <c r="C120" i="48" s="1"/>
  <c r="C121" i="48" s="1"/>
  <c r="C122" i="48" s="1"/>
  <c r="C123" i="48" s="1"/>
  <c r="C124" i="48" s="1"/>
  <c r="C125" i="48" s="1"/>
  <c r="C126" i="48" s="1"/>
  <c r="C127" i="48" s="1"/>
  <c r="C128" i="48" s="1"/>
  <c r="C129" i="48" s="1"/>
  <c r="C130" i="48" s="1"/>
  <c r="C131" i="48" s="1"/>
  <c r="C132" i="48" s="1"/>
  <c r="C133" i="48" s="1"/>
  <c r="C134" i="48" s="1"/>
  <c r="C135" i="48" s="1"/>
  <c r="C136" i="48" s="1"/>
  <c r="C137" i="48" s="1"/>
  <c r="C138" i="48" s="1"/>
  <c r="C139" i="48" s="1"/>
  <c r="C140" i="48" s="1"/>
  <c r="C141" i="48" s="1"/>
  <c r="C142" i="48" s="1"/>
  <c r="C143" i="48" s="1"/>
  <c r="C144" i="48" s="1"/>
  <c r="C145" i="48" s="1"/>
  <c r="C146" i="48" s="1"/>
  <c r="C147" i="48" s="1"/>
  <c r="C148" i="48" s="1"/>
  <c r="C149" i="48" s="1"/>
  <c r="C150" i="48" s="1"/>
  <c r="C151" i="48" s="1"/>
  <c r="C152" i="48" s="1"/>
  <c r="C153" i="48" s="1"/>
  <c r="C154" i="48" s="1"/>
  <c r="P119" i="48"/>
  <c r="P120" i="48"/>
  <c r="C100" i="47" l="1"/>
  <c r="C101" i="47" s="1"/>
  <c r="C102" i="47" s="1"/>
  <c r="C103" i="47" s="1"/>
  <c r="C104" i="47" s="1"/>
  <c r="C105" i="47" s="1"/>
  <c r="C106" i="47" s="1"/>
  <c r="C107" i="47" s="1"/>
  <c r="C108" i="47" s="1"/>
  <c r="C109" i="47" s="1"/>
  <c r="C110" i="47" s="1"/>
  <c r="C111" i="47" s="1"/>
  <c r="C112" i="47" s="1"/>
  <c r="C113" i="47" s="1"/>
  <c r="C114" i="47" s="1"/>
  <c r="C115" i="47" s="1"/>
  <c r="C116" i="47" s="1"/>
  <c r="C117" i="47" s="1"/>
  <c r="C118" i="47" s="1"/>
  <c r="C119" i="47" s="1"/>
  <c r="C120" i="47" s="1"/>
  <c r="C121" i="47" s="1"/>
  <c r="C122" i="47" s="1"/>
  <c r="C123" i="47" s="1"/>
  <c r="C124" i="47" s="1"/>
  <c r="C125" i="47" s="1"/>
  <c r="C126" i="47" s="1"/>
  <c r="C127" i="47" s="1"/>
  <c r="C128" i="47" s="1"/>
  <c r="C129" i="47" s="1"/>
  <c r="C130" i="47" s="1"/>
  <c r="C131" i="47" s="1"/>
  <c r="C132" i="47" s="1"/>
  <c r="C133" i="47" s="1"/>
  <c r="C134" i="47" s="1"/>
  <c r="C135" i="47" s="1"/>
  <c r="C136" i="47" s="1"/>
  <c r="C137" i="47" s="1"/>
  <c r="C138" i="47" s="1"/>
  <c r="C139" i="47" s="1"/>
  <c r="C140" i="47" s="1"/>
  <c r="C141" i="47" s="1"/>
  <c r="C142" i="47" s="1"/>
  <c r="C143" i="47" s="1"/>
  <c r="C144" i="47" s="1"/>
  <c r="C145" i="47" s="1"/>
  <c r="C146" i="47" s="1"/>
  <c r="C147" i="47" s="1"/>
  <c r="C148" i="47" s="1"/>
  <c r="C149" i="47" s="1"/>
  <c r="C150" i="47" s="1"/>
  <c r="C151" i="47" s="1"/>
  <c r="C152" i="47" s="1"/>
  <c r="C153" i="47" s="1"/>
  <c r="C154" i="47" s="1"/>
  <c r="C100" i="49"/>
  <c r="C101" i="49" s="1"/>
  <c r="C102" i="49" s="1"/>
  <c r="C103" i="49" s="1"/>
  <c r="C104" i="49" s="1"/>
  <c r="C105" i="49" s="1"/>
  <c r="C106" i="49" s="1"/>
  <c r="C107" i="49" s="1"/>
  <c r="C108" i="49" s="1"/>
  <c r="C109" i="49" s="1"/>
  <c r="C110" i="49" s="1"/>
  <c r="C111" i="49" s="1"/>
  <c r="C112" i="49" s="1"/>
  <c r="C113" i="49" s="1"/>
  <c r="C114" i="49" s="1"/>
  <c r="C115" i="49" s="1"/>
  <c r="C116" i="49" s="1"/>
  <c r="C117" i="49" s="1"/>
  <c r="C118" i="49" s="1"/>
  <c r="C119" i="49" s="1"/>
  <c r="C120" i="49" s="1"/>
  <c r="C121" i="49" s="1"/>
  <c r="C122" i="49" s="1"/>
  <c r="C123" i="49" s="1"/>
  <c r="C124" i="49" s="1"/>
  <c r="C125" i="49" s="1"/>
  <c r="C126" i="49" s="1"/>
  <c r="C127" i="49" s="1"/>
  <c r="C128" i="49" s="1"/>
  <c r="C129" i="49" s="1"/>
  <c r="C130" i="49" s="1"/>
  <c r="C131" i="49" s="1"/>
  <c r="C132" i="49" s="1"/>
  <c r="C133" i="49" s="1"/>
  <c r="C134" i="49" s="1"/>
  <c r="C135" i="49" s="1"/>
  <c r="C136" i="49" s="1"/>
  <c r="C137" i="49" s="1"/>
  <c r="C138" i="49" s="1"/>
  <c r="C139" i="49" s="1"/>
  <c r="C140" i="49" s="1"/>
  <c r="C141" i="49" s="1"/>
  <c r="C142" i="49" s="1"/>
  <c r="C143" i="49" s="1"/>
  <c r="C144" i="49" s="1"/>
  <c r="C145" i="49" s="1"/>
  <c r="C146" i="49" s="1"/>
  <c r="C147" i="49" s="1"/>
  <c r="C148" i="49" s="1"/>
  <c r="C149" i="49" s="1"/>
  <c r="C150" i="49" s="1"/>
  <c r="C151" i="49" s="1"/>
  <c r="C152" i="49" s="1"/>
  <c r="C153" i="49" s="1"/>
  <c r="C154" i="49" s="1"/>
  <c r="W46" i="17"/>
  <c r="M16" i="2" l="1"/>
  <c r="J92" i="49" s="1"/>
  <c r="N99" i="46"/>
  <c r="L99" i="46"/>
  <c r="M99" i="46" s="1"/>
  <c r="M18" i="46"/>
  <c r="K18" i="46"/>
  <c r="L18" i="46" s="1"/>
  <c r="N100" i="45"/>
  <c r="L100" i="45"/>
  <c r="M100" i="45" s="1"/>
  <c r="M19" i="45"/>
  <c r="K19" i="45"/>
  <c r="L19" i="45" s="1"/>
  <c r="N100" i="44"/>
  <c r="L100" i="44"/>
  <c r="M100" i="44" s="1"/>
  <c r="M19" i="44"/>
  <c r="K19" i="44"/>
  <c r="L19" i="44" s="1"/>
  <c r="N101" i="43"/>
  <c r="L101" i="43"/>
  <c r="M101" i="43" s="1"/>
  <c r="M20" i="43"/>
  <c r="K20" i="43"/>
  <c r="L20" i="43" s="1"/>
  <c r="N101" i="42"/>
  <c r="L101" i="42"/>
  <c r="M101" i="42" s="1"/>
  <c r="M20" i="42"/>
  <c r="K20" i="42"/>
  <c r="L20" i="42" s="1"/>
  <c r="N101" i="41"/>
  <c r="L101" i="41"/>
  <c r="M101" i="41" s="1"/>
  <c r="M20" i="41"/>
  <c r="K20" i="41"/>
  <c r="L20" i="41" s="1"/>
  <c r="N101" i="40"/>
  <c r="L101" i="40"/>
  <c r="M101" i="40" s="1"/>
  <c r="M20" i="40"/>
  <c r="K20" i="40"/>
  <c r="L20" i="40" s="1"/>
  <c r="N102" i="39"/>
  <c r="L102" i="39"/>
  <c r="M102" i="39" s="1"/>
  <c r="M21" i="39"/>
  <c r="K21" i="39"/>
  <c r="L21" i="39" s="1"/>
  <c r="N101" i="38"/>
  <c r="L101" i="38"/>
  <c r="M101" i="38" s="1"/>
  <c r="M21" i="38"/>
  <c r="K21" i="38"/>
  <c r="L21" i="38" s="1"/>
  <c r="N102" i="37"/>
  <c r="L102" i="37"/>
  <c r="M102" i="37" s="1"/>
  <c r="M21" i="37"/>
  <c r="K21" i="37"/>
  <c r="L21" i="37" s="1"/>
  <c r="N105" i="31"/>
  <c r="L105" i="31"/>
  <c r="M105" i="31" s="1"/>
  <c r="M24" i="31"/>
  <c r="K24" i="31"/>
  <c r="L24" i="31" s="1"/>
  <c r="N104" i="30"/>
  <c r="L104" i="30"/>
  <c r="M104" i="30" s="1"/>
  <c r="M23" i="30"/>
  <c r="K23" i="30"/>
  <c r="L23" i="30" s="1"/>
  <c r="N105" i="29"/>
  <c r="L105" i="29"/>
  <c r="M105" i="29" s="1"/>
  <c r="M24" i="29"/>
  <c r="K24" i="29"/>
  <c r="L24" i="29" s="1"/>
  <c r="N105" i="28"/>
  <c r="L105" i="28"/>
  <c r="M105" i="28" s="1"/>
  <c r="M24" i="28"/>
  <c r="K24" i="28"/>
  <c r="L24" i="28" s="1"/>
  <c r="N106" i="27"/>
  <c r="L106" i="27"/>
  <c r="M106" i="27" s="1"/>
  <c r="M25" i="27"/>
  <c r="K25" i="27"/>
  <c r="L25" i="27" s="1"/>
  <c r="O154" i="25"/>
  <c r="O153" i="25"/>
  <c r="O152" i="25"/>
  <c r="O151" i="25"/>
  <c r="O150" i="25"/>
  <c r="O149" i="25"/>
  <c r="O148" i="25"/>
  <c r="O147" i="25"/>
  <c r="O146" i="25"/>
  <c r="O145" i="25"/>
  <c r="O144" i="25"/>
  <c r="O143" i="25"/>
  <c r="O142" i="25"/>
  <c r="O141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N109" i="25"/>
  <c r="O109" i="25" s="1"/>
  <c r="L109" i="25"/>
  <c r="M109" i="25" s="1"/>
  <c r="M28" i="25"/>
  <c r="K28" i="25"/>
  <c r="L28" i="25" s="1"/>
  <c r="N107" i="24"/>
  <c r="L107" i="24"/>
  <c r="M107" i="24" s="1"/>
  <c r="M26" i="24"/>
  <c r="K26" i="24"/>
  <c r="L26" i="24" s="1"/>
  <c r="N108" i="23"/>
  <c r="L108" i="23"/>
  <c r="M108" i="23" s="1"/>
  <c r="M27" i="23"/>
  <c r="K27" i="23"/>
  <c r="L27" i="23" s="1"/>
  <c r="N109" i="22"/>
  <c r="L109" i="22"/>
  <c r="M109" i="22" s="1"/>
  <c r="M28" i="22"/>
  <c r="K28" i="22"/>
  <c r="L28" i="22" s="1"/>
  <c r="N112" i="11"/>
  <c r="L112" i="11"/>
  <c r="M112" i="11" s="1"/>
  <c r="M31" i="11"/>
  <c r="K31" i="11"/>
  <c r="L31" i="11" s="1"/>
  <c r="N113" i="10"/>
  <c r="L113" i="10"/>
  <c r="M113" i="10" s="1"/>
  <c r="M32" i="10"/>
  <c r="K32" i="10"/>
  <c r="L32" i="10" s="1"/>
  <c r="N112" i="9"/>
  <c r="L112" i="9"/>
  <c r="M112" i="9" s="1"/>
  <c r="M31" i="9"/>
  <c r="K31" i="9"/>
  <c r="L31" i="9" s="1"/>
  <c r="N111" i="8"/>
  <c r="L111" i="8"/>
  <c r="M111" i="8" s="1"/>
  <c r="M30" i="8"/>
  <c r="K30" i="8"/>
  <c r="L30" i="8" s="1"/>
  <c r="N113" i="7"/>
  <c r="L113" i="7"/>
  <c r="M113" i="7" s="1"/>
  <c r="M32" i="7"/>
  <c r="K32" i="7"/>
  <c r="L32" i="7" s="1"/>
  <c r="N111" i="6"/>
  <c r="L111" i="6"/>
  <c r="M111" i="6" s="1"/>
  <c r="M30" i="6"/>
  <c r="K30" i="6"/>
  <c r="L30" i="6" s="1"/>
  <c r="N110" i="5"/>
  <c r="L110" i="5"/>
  <c r="M110" i="5" s="1"/>
  <c r="M29" i="5"/>
  <c r="K29" i="5"/>
  <c r="L29" i="5" s="1"/>
  <c r="N110" i="4"/>
  <c r="L110" i="4"/>
  <c r="M110" i="4" s="1"/>
  <c r="M29" i="4"/>
  <c r="K29" i="4"/>
  <c r="L29" i="4" s="1"/>
  <c r="J92" i="47" l="1"/>
  <c r="J92" i="48"/>
  <c r="W45" i="17"/>
  <c r="N110" i="3" l="1"/>
  <c r="L110" i="3"/>
  <c r="M110" i="3" s="1"/>
  <c r="M29" i="3"/>
  <c r="K29" i="3"/>
  <c r="L29" i="3" s="1"/>
  <c r="N99" i="45" l="1"/>
  <c r="L99" i="45"/>
  <c r="M99" i="45" s="1"/>
  <c r="N99" i="44"/>
  <c r="L99" i="44"/>
  <c r="M99" i="44" s="1"/>
  <c r="N100" i="43"/>
  <c r="L100" i="43"/>
  <c r="M100" i="43" s="1"/>
  <c r="N100" i="42"/>
  <c r="L100" i="42"/>
  <c r="M100" i="42" s="1"/>
  <c r="L100" i="41"/>
  <c r="M100" i="41" s="1"/>
  <c r="N100" i="40"/>
  <c r="L100" i="40"/>
  <c r="M100" i="40" s="1"/>
  <c r="N101" i="39"/>
  <c r="L101" i="39"/>
  <c r="M101" i="39" s="1"/>
  <c r="N101" i="37"/>
  <c r="L101" i="37"/>
  <c r="M101" i="37" s="1"/>
  <c r="N104" i="31"/>
  <c r="L104" i="31"/>
  <c r="M104" i="31" s="1"/>
  <c r="N103" i="30"/>
  <c r="L103" i="30"/>
  <c r="M103" i="30" s="1"/>
  <c r="N104" i="29"/>
  <c r="L104" i="29"/>
  <c r="M104" i="29" s="1"/>
  <c r="N104" i="28"/>
  <c r="L104" i="28"/>
  <c r="M104" i="28" s="1"/>
  <c r="N105" i="27"/>
  <c r="L105" i="27"/>
  <c r="M105" i="27" s="1"/>
  <c r="N108" i="25"/>
  <c r="O108" i="25" s="1"/>
  <c r="L108" i="25"/>
  <c r="M108" i="25" s="1"/>
  <c r="N106" i="24"/>
  <c r="L106" i="24"/>
  <c r="M106" i="24" s="1"/>
  <c r="N107" i="23"/>
  <c r="L107" i="23"/>
  <c r="M107" i="23" s="1"/>
  <c r="N108" i="22"/>
  <c r="L108" i="22"/>
  <c r="M108" i="22" s="1"/>
  <c r="N111" i="11"/>
  <c r="L111" i="11"/>
  <c r="M111" i="11" s="1"/>
  <c r="N112" i="10"/>
  <c r="L112" i="10"/>
  <c r="M112" i="10" s="1"/>
  <c r="N111" i="9"/>
  <c r="L111" i="9"/>
  <c r="M111" i="9" s="1"/>
  <c r="N110" i="8"/>
  <c r="L110" i="8"/>
  <c r="M110" i="8" s="1"/>
  <c r="N112" i="7"/>
  <c r="L112" i="7"/>
  <c r="M112" i="7" s="1"/>
  <c r="N110" i="6"/>
  <c r="L110" i="6"/>
  <c r="M110" i="6" s="1"/>
  <c r="N109" i="5"/>
  <c r="L109" i="5"/>
  <c r="M109" i="5" s="1"/>
  <c r="N109" i="3"/>
  <c r="L109" i="3"/>
  <c r="M109" i="3" s="1"/>
  <c r="N109" i="4"/>
  <c r="L109" i="4"/>
  <c r="M109" i="4" s="1"/>
  <c r="N100" i="41" l="1"/>
  <c r="M17" i="46" l="1"/>
  <c r="K17" i="46"/>
  <c r="L17" i="46" s="1"/>
  <c r="M18" i="45"/>
  <c r="K18" i="45"/>
  <c r="L18" i="45" s="1"/>
  <c r="M18" i="44"/>
  <c r="K18" i="44"/>
  <c r="L18" i="44" s="1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31"/>
  <c r="K23" i="31"/>
  <c r="L23" i="31" s="1"/>
  <c r="M22" i="30"/>
  <c r="K22" i="30"/>
  <c r="L22" i="30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28" i="5"/>
  <c r="K28" i="5"/>
  <c r="L28" i="5" s="1"/>
  <c r="M28" i="3"/>
  <c r="K28" i="3"/>
  <c r="L28" i="3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1048576" i="6"/>
  <c r="K1048576" i="6"/>
  <c r="L1048576" i="6" s="1"/>
  <c r="M28" i="4"/>
  <c r="N28" i="4" s="1"/>
  <c r="K28" i="4"/>
  <c r="L28" i="4" s="1"/>
  <c r="P45" i="17"/>
  <c r="W44" i="17" l="1"/>
  <c r="W43" i="17"/>
  <c r="N50" i="17"/>
  <c r="E50" i="17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O27" i="3"/>
  <c r="N99" i="43" l="1"/>
  <c r="O99" i="43" s="1"/>
  <c r="L99" i="43"/>
  <c r="M99" i="43" s="1"/>
  <c r="N99" i="42"/>
  <c r="O99" i="42" s="1"/>
  <c r="L99" i="42"/>
  <c r="M99" i="42" s="1"/>
  <c r="N99" i="41"/>
  <c r="O99" i="41" s="1"/>
  <c r="L99" i="41"/>
  <c r="M99" i="41" s="1"/>
  <c r="N99" i="40"/>
  <c r="O99" i="40" s="1"/>
  <c r="L99" i="40"/>
  <c r="M99" i="40" s="1"/>
  <c r="N100" i="39"/>
  <c r="O100" i="39" s="1"/>
  <c r="L100" i="39"/>
  <c r="M100" i="39" s="1"/>
  <c r="N100" i="37"/>
  <c r="O100" i="37" s="1"/>
  <c r="L100" i="37"/>
  <c r="M100" i="37" s="1"/>
  <c r="N103" i="31"/>
  <c r="O103" i="31" s="1"/>
  <c r="L103" i="31"/>
  <c r="M103" i="31" s="1"/>
  <c r="N102" i="30"/>
  <c r="O102" i="30" s="1"/>
  <c r="L102" i="30"/>
  <c r="M102" i="30" s="1"/>
  <c r="N103" i="29"/>
  <c r="O103" i="29" s="1"/>
  <c r="L103" i="29"/>
  <c r="M103" i="29" s="1"/>
  <c r="N103" i="28"/>
  <c r="O103" i="28" s="1"/>
  <c r="L103" i="28"/>
  <c r="M103" i="28" s="1"/>
  <c r="N104" i="27"/>
  <c r="O104" i="27" s="1"/>
  <c r="L104" i="27"/>
  <c r="M104" i="27" s="1"/>
  <c r="N107" i="25"/>
  <c r="O107" i="25" s="1"/>
  <c r="L107" i="25"/>
  <c r="M107" i="25" s="1"/>
  <c r="N105" i="24"/>
  <c r="O105" i="24" s="1"/>
  <c r="L105" i="24"/>
  <c r="M105" i="24" s="1"/>
  <c r="N106" i="23"/>
  <c r="O106" i="23" s="1"/>
  <c r="L106" i="23"/>
  <c r="M106" i="23" s="1"/>
  <c r="N107" i="22"/>
  <c r="O107" i="22" s="1"/>
  <c r="L107" i="22"/>
  <c r="M107" i="22" s="1"/>
  <c r="N110" i="11"/>
  <c r="O110" i="11" s="1"/>
  <c r="L110" i="11"/>
  <c r="M110" i="11" s="1"/>
  <c r="N111" i="10"/>
  <c r="O111" i="10" s="1"/>
  <c r="L111" i="10"/>
  <c r="M111" i="10" s="1"/>
  <c r="N110" i="9"/>
  <c r="O110" i="9" s="1"/>
  <c r="L110" i="9"/>
  <c r="M110" i="9" s="1"/>
  <c r="N109" i="8"/>
  <c r="O109" i="8" s="1"/>
  <c r="L109" i="8"/>
  <c r="M109" i="8" s="1"/>
  <c r="N111" i="7"/>
  <c r="O111" i="7" s="1"/>
  <c r="L111" i="7"/>
  <c r="M111" i="7" s="1"/>
  <c r="N109" i="6"/>
  <c r="O109" i="6" s="1"/>
  <c r="L109" i="6"/>
  <c r="M109" i="6" s="1"/>
  <c r="N108" i="5"/>
  <c r="O108" i="5" s="1"/>
  <c r="L108" i="5"/>
  <c r="M108" i="5" s="1"/>
  <c r="N108" i="4"/>
  <c r="O108" i="4" s="1"/>
  <c r="L108" i="4"/>
  <c r="M108" i="4" s="1"/>
  <c r="N108" i="3"/>
  <c r="O108" i="3" s="1"/>
  <c r="L108" i="3"/>
  <c r="M108" i="3" s="1"/>
  <c r="O50" i="17"/>
  <c r="P44" i="17"/>
  <c r="P43" i="17"/>
  <c r="P108" i="5" l="1"/>
  <c r="P106" i="23"/>
  <c r="P110" i="9"/>
  <c r="P103" i="28"/>
  <c r="P108" i="4"/>
  <c r="P107" i="22"/>
  <c r="P104" i="27"/>
  <c r="P99" i="42"/>
  <c r="P108" i="3"/>
  <c r="P111" i="7"/>
  <c r="P110" i="11"/>
  <c r="P107" i="25"/>
  <c r="P99" i="41"/>
  <c r="P99" i="43"/>
  <c r="P109" i="8"/>
  <c r="P109" i="6"/>
  <c r="P111" i="10"/>
  <c r="P105" i="24"/>
  <c r="P103" i="29"/>
  <c r="P99" i="40"/>
  <c r="P100" i="39"/>
  <c r="P103" i="31"/>
  <c r="P100" i="37"/>
  <c r="P102" i="30"/>
  <c r="J50" i="17" l="1"/>
  <c r="M17" i="43" l="1"/>
  <c r="K17" i="43"/>
  <c r="E36" i="1"/>
  <c r="E35" i="1"/>
  <c r="C36" i="1"/>
  <c r="C35" i="1"/>
  <c r="L19" i="1"/>
  <c r="I57" i="17"/>
  <c r="A4" i="1" l="1"/>
  <c r="A2" i="1"/>
  <c r="P42" i="17" l="1"/>
  <c r="E36" i="2" l="1"/>
  <c r="E35" i="2"/>
  <c r="C36" i="2"/>
  <c r="C35" i="2"/>
  <c r="C34" i="2"/>
  <c r="W42" i="17" l="1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0" i="46"/>
  <c r="O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19" i="46"/>
  <c r="N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D90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1" i="45"/>
  <c r="O100" i="45"/>
  <c r="O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0" i="45"/>
  <c r="N19" i="45"/>
  <c r="N18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1" i="44"/>
  <c r="O100" i="44"/>
  <c r="O99" i="44"/>
  <c r="C99" i="44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N20" i="44"/>
  <c r="N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O101" i="43"/>
  <c r="O100" i="43"/>
  <c r="C99" i="43"/>
  <c r="C100" i="43" s="1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1" i="43"/>
  <c r="N20" i="43"/>
  <c r="N19" i="43"/>
  <c r="N18" i="43"/>
  <c r="N17" i="43"/>
  <c r="L17" i="43"/>
  <c r="C17" i="43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N17" i="40" s="1"/>
  <c r="K17" i="40"/>
  <c r="L17" i="40" s="1"/>
  <c r="N99" i="39"/>
  <c r="O99" i="39" s="1"/>
  <c r="L99" i="39"/>
  <c r="M99" i="39" s="1"/>
  <c r="M18" i="39"/>
  <c r="N18" i="39" s="1"/>
  <c r="K18" i="39"/>
  <c r="L18" i="39" s="1"/>
  <c r="N99" i="38"/>
  <c r="O99" i="38" s="1"/>
  <c r="L99" i="38"/>
  <c r="M99" i="38" s="1"/>
  <c r="M18" i="38"/>
  <c r="N18" i="38" s="1"/>
  <c r="K18" i="38"/>
  <c r="L18" i="38" s="1"/>
  <c r="N99" i="37"/>
  <c r="O99" i="37" s="1"/>
  <c r="L99" i="37"/>
  <c r="M99" i="37" s="1"/>
  <c r="M18" i="37"/>
  <c r="N18" i="37" s="1"/>
  <c r="K18" i="37"/>
  <c r="L18" i="37" s="1"/>
  <c r="N102" i="31"/>
  <c r="O102" i="31" s="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L102" i="29"/>
  <c r="M102" i="29" s="1"/>
  <c r="M21" i="29"/>
  <c r="N21" i="29" s="1"/>
  <c r="K21" i="29"/>
  <c r="L21" i="29" s="1"/>
  <c r="N102" i="28"/>
  <c r="O102" i="28" s="1"/>
  <c r="L102" i="28"/>
  <c r="M102" i="28" s="1"/>
  <c r="M21" i="28"/>
  <c r="N21" i="28" s="1"/>
  <c r="K21" i="28"/>
  <c r="L21" i="28" s="1"/>
  <c r="N103" i="27"/>
  <c r="O103" i="27" s="1"/>
  <c r="L103" i="27"/>
  <c r="M103" i="27" s="1"/>
  <c r="M22" i="27"/>
  <c r="N22" i="27" s="1"/>
  <c r="K22" i="27"/>
  <c r="L22" i="27" s="1"/>
  <c r="N106" i="25"/>
  <c r="O106" i="25" s="1"/>
  <c r="L106" i="25"/>
  <c r="M106" i="25" s="1"/>
  <c r="M25" i="25"/>
  <c r="N25" i="25" s="1"/>
  <c r="K25" i="25"/>
  <c r="L25" i="25" s="1"/>
  <c r="N104" i="24"/>
  <c r="O104" i="24" s="1"/>
  <c r="L104" i="24"/>
  <c r="M104" i="24" s="1"/>
  <c r="M23" i="24"/>
  <c r="N23" i="24" s="1"/>
  <c r="K23" i="24"/>
  <c r="L23" i="24" s="1"/>
  <c r="N105" i="23"/>
  <c r="O105" i="23" s="1"/>
  <c r="L105" i="23"/>
  <c r="M105" i="23" s="1"/>
  <c r="M24" i="23"/>
  <c r="N24" i="23" s="1"/>
  <c r="K24" i="23"/>
  <c r="L24" i="23" s="1"/>
  <c r="N106" i="22"/>
  <c r="O106" i="22" s="1"/>
  <c r="L106" i="22"/>
  <c r="M106" i="22" s="1"/>
  <c r="M25" i="22"/>
  <c r="N25" i="22" s="1"/>
  <c r="K25" i="22"/>
  <c r="L25" i="22" s="1"/>
  <c r="N109" i="11"/>
  <c r="O109" i="11" s="1"/>
  <c r="L109" i="11"/>
  <c r="M109" i="11" s="1"/>
  <c r="M28" i="11"/>
  <c r="N28" i="11" s="1"/>
  <c r="K28" i="11"/>
  <c r="L28" i="11" s="1"/>
  <c r="N110" i="10"/>
  <c r="O110" i="10" s="1"/>
  <c r="L110" i="10"/>
  <c r="M110" i="10" s="1"/>
  <c r="M29" i="10"/>
  <c r="N29" i="10" s="1"/>
  <c r="K29" i="10"/>
  <c r="L29" i="10" s="1"/>
  <c r="N109" i="9"/>
  <c r="O109" i="9" s="1"/>
  <c r="L109" i="9"/>
  <c r="M109" i="9" s="1"/>
  <c r="M28" i="9"/>
  <c r="N28" i="9" s="1"/>
  <c r="K28" i="9"/>
  <c r="L28" i="9" s="1"/>
  <c r="N108" i="8"/>
  <c r="O108" i="8" s="1"/>
  <c r="L108" i="8"/>
  <c r="M108" i="8" s="1"/>
  <c r="M27" i="8"/>
  <c r="N27" i="8" s="1"/>
  <c r="K27" i="8"/>
  <c r="L27" i="8" s="1"/>
  <c r="N110" i="7"/>
  <c r="O110" i="7" s="1"/>
  <c r="L110" i="7"/>
  <c r="M110" i="7" s="1"/>
  <c r="M29" i="7"/>
  <c r="N29" i="7" s="1"/>
  <c r="K29" i="7"/>
  <c r="L29" i="7" s="1"/>
  <c r="N108" i="6"/>
  <c r="O108" i="6" s="1"/>
  <c r="L108" i="6"/>
  <c r="M108" i="6" s="1"/>
  <c r="M27" i="6"/>
  <c r="N27" i="6" s="1"/>
  <c r="K27" i="6"/>
  <c r="L27" i="6" s="1"/>
  <c r="N107" i="5"/>
  <c r="O107" i="5" s="1"/>
  <c r="L107" i="5"/>
  <c r="M107" i="5" s="1"/>
  <c r="M26" i="5"/>
  <c r="N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 s="1"/>
  <c r="L107" i="3"/>
  <c r="M107" i="3" s="1"/>
  <c r="M26" i="3"/>
  <c r="N26" i="3" s="1"/>
  <c r="K26" i="3"/>
  <c r="L26" i="3" s="1"/>
  <c r="D92" i="6"/>
  <c r="U2" i="17"/>
  <c r="M26" i="6"/>
  <c r="N26" i="6" s="1"/>
  <c r="K26" i="6"/>
  <c r="L26" i="6" s="1"/>
  <c r="M17" i="38"/>
  <c r="N17" i="38" s="1"/>
  <c r="K17" i="38"/>
  <c r="L17" i="38" s="1"/>
  <c r="M17" i="39"/>
  <c r="N17" i="39" s="1"/>
  <c r="K17" i="39"/>
  <c r="L17" i="39" s="1"/>
  <c r="N101" i="31"/>
  <c r="O101" i="31" s="1"/>
  <c r="L101" i="31"/>
  <c r="M101" i="31" s="1"/>
  <c r="M20" i="31"/>
  <c r="N20" i="31" s="1"/>
  <c r="K20" i="31"/>
  <c r="L20" i="31" s="1"/>
  <c r="M17" i="37"/>
  <c r="N17" i="37" s="1"/>
  <c r="K17" i="37"/>
  <c r="L17" i="37" s="1"/>
  <c r="W41" i="17"/>
  <c r="P41" i="17"/>
  <c r="W40" i="17"/>
  <c r="P40" i="17"/>
  <c r="M19" i="30"/>
  <c r="N19" i="30" s="1"/>
  <c r="K19" i="30"/>
  <c r="L19" i="30" s="1"/>
  <c r="N100" i="30"/>
  <c r="O100" i="30" s="1"/>
  <c r="L100" i="30"/>
  <c r="M100" i="30" s="1"/>
  <c r="M20" i="29"/>
  <c r="N20" i="29" s="1"/>
  <c r="K20" i="29"/>
  <c r="L20" i="29" s="1"/>
  <c r="N101" i="29"/>
  <c r="O101" i="29" s="1"/>
  <c r="L101" i="29"/>
  <c r="M101" i="29" s="1"/>
  <c r="N101" i="28"/>
  <c r="O101" i="28" s="1"/>
  <c r="L101" i="28"/>
  <c r="M101" i="28" s="1"/>
  <c r="M20" i="28"/>
  <c r="N20" i="28" s="1"/>
  <c r="K20" i="28"/>
  <c r="L20" i="28" s="1"/>
  <c r="N102" i="27"/>
  <c r="O102" i="27" s="1"/>
  <c r="L102" i="27"/>
  <c r="M102" i="27" s="1"/>
  <c r="M21" i="27"/>
  <c r="N21" i="27" s="1"/>
  <c r="K21" i="27"/>
  <c r="L21" i="27" s="1"/>
  <c r="N105" i="25"/>
  <c r="O105" i="25" s="1"/>
  <c r="L105" i="25"/>
  <c r="M105" i="25" s="1"/>
  <c r="M24" i="25"/>
  <c r="N24" i="25" s="1"/>
  <c r="K24" i="25"/>
  <c r="L24" i="25" s="1"/>
  <c r="N103" i="24"/>
  <c r="O103" i="24" s="1"/>
  <c r="L103" i="24"/>
  <c r="M103" i="24" s="1"/>
  <c r="M22" i="24"/>
  <c r="N22" i="24" s="1"/>
  <c r="K22" i="24"/>
  <c r="L22" i="24" s="1"/>
  <c r="N104" i="23"/>
  <c r="O104" i="23" s="1"/>
  <c r="L104" i="23"/>
  <c r="M104" i="23" s="1"/>
  <c r="M23" i="23"/>
  <c r="N23" i="23" s="1"/>
  <c r="K23" i="23"/>
  <c r="L23" i="23" s="1"/>
  <c r="N105" i="22"/>
  <c r="O105" i="22" s="1"/>
  <c r="L105" i="22"/>
  <c r="M105" i="22" s="1"/>
  <c r="M24" i="22"/>
  <c r="N24" i="22" s="1"/>
  <c r="K24" i="22"/>
  <c r="L24" i="22" s="1"/>
  <c r="N108" i="11"/>
  <c r="O108" i="11" s="1"/>
  <c r="L108" i="11"/>
  <c r="M108" i="11" s="1"/>
  <c r="M27" i="11"/>
  <c r="N27" i="11" s="1"/>
  <c r="K27" i="11"/>
  <c r="L27" i="11" s="1"/>
  <c r="N109" i="10"/>
  <c r="O109" i="10" s="1"/>
  <c r="L109" i="10"/>
  <c r="M109" i="10" s="1"/>
  <c r="M28" i="10"/>
  <c r="N28" i="10" s="1"/>
  <c r="K28" i="10"/>
  <c r="L28" i="10" s="1"/>
  <c r="N108" i="9"/>
  <c r="O108" i="9" s="1"/>
  <c r="L108" i="9"/>
  <c r="M108" i="9" s="1"/>
  <c r="M27" i="9"/>
  <c r="N27" i="9" s="1"/>
  <c r="K27" i="9"/>
  <c r="L27" i="9" s="1"/>
  <c r="N107" i="8"/>
  <c r="O107" i="8" s="1"/>
  <c r="L107" i="8"/>
  <c r="M107" i="8" s="1"/>
  <c r="M26" i="8"/>
  <c r="N26" i="8" s="1"/>
  <c r="K26" i="8"/>
  <c r="L26" i="8" s="1"/>
  <c r="N109" i="7"/>
  <c r="O109" i="7" s="1"/>
  <c r="L109" i="7"/>
  <c r="M109" i="7" s="1"/>
  <c r="M28" i="7"/>
  <c r="N28" i="7" s="1"/>
  <c r="K28" i="7"/>
  <c r="L28" i="7" s="1"/>
  <c r="N107" i="6"/>
  <c r="O107" i="6" s="1"/>
  <c r="L107" i="6"/>
  <c r="M107" i="6" s="1"/>
  <c r="N106" i="5"/>
  <c r="O106" i="5" s="1"/>
  <c r="L106" i="5"/>
  <c r="M106" i="5" s="1"/>
  <c r="M25" i="5"/>
  <c r="N25" i="5" s="1"/>
  <c r="K25" i="5"/>
  <c r="L25" i="5" s="1"/>
  <c r="N106" i="4"/>
  <c r="O106" i="4" s="1"/>
  <c r="L106" i="4"/>
  <c r="M106" i="4" s="1"/>
  <c r="M25" i="4"/>
  <c r="N25" i="4" s="1"/>
  <c r="K25" i="4"/>
  <c r="L25" i="4" s="1"/>
  <c r="N106" i="3"/>
  <c r="O106" i="3" s="1"/>
  <c r="L106" i="3"/>
  <c r="M106" i="3" s="1"/>
  <c r="M25" i="3"/>
  <c r="N25" i="3" s="1"/>
  <c r="K25" i="3"/>
  <c r="L25" i="3" s="1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O101" i="42"/>
  <c r="O100" i="42"/>
  <c r="C99" i="42"/>
  <c r="C100" i="42" s="1"/>
  <c r="C101" i="42" s="1"/>
  <c r="C102" i="42" s="1"/>
  <c r="C103" i="42" s="1"/>
  <c r="C104" i="42" s="1"/>
  <c r="C105" i="42" s="1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1" i="42"/>
  <c r="N20" i="42"/>
  <c r="N19" i="42"/>
  <c r="N18" i="42"/>
  <c r="C17" i="42"/>
  <c r="C18" i="42" s="1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2" i="41"/>
  <c r="O101" i="41"/>
  <c r="O100" i="41"/>
  <c r="C99" i="41"/>
  <c r="C100" i="41" s="1"/>
  <c r="C101" i="41" s="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N21" i="41"/>
  <c r="N20" i="41"/>
  <c r="N19" i="41"/>
  <c r="N18" i="41"/>
  <c r="C17" i="41"/>
  <c r="C18" i="41" s="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K11" i="41"/>
  <c r="I11" i="41"/>
  <c r="D8" i="41"/>
  <c r="D90" i="41" s="1"/>
  <c r="P1" i="41"/>
  <c r="P83" i="41" s="1"/>
  <c r="F66" i="2"/>
  <c r="C66" i="2"/>
  <c r="E17" i="1"/>
  <c r="F13" i="1"/>
  <c r="C80" i="1" s="1"/>
  <c r="C81" i="1"/>
  <c r="C75" i="1"/>
  <c r="C64" i="1"/>
  <c r="C58" i="1"/>
  <c r="C47" i="1"/>
  <c r="C46" i="1"/>
  <c r="C45" i="1"/>
  <c r="C34" i="1"/>
  <c r="C31" i="1"/>
  <c r="C24" i="1"/>
  <c r="E17" i="13"/>
  <c r="J92" i="45"/>
  <c r="N100" i="31"/>
  <c r="O100" i="31" s="1"/>
  <c r="L100" i="31"/>
  <c r="M100" i="31" s="1"/>
  <c r="M19" i="31"/>
  <c r="N19" i="31" s="1"/>
  <c r="K19" i="31"/>
  <c r="L19" i="31" s="1"/>
  <c r="N99" i="30"/>
  <c r="O99" i="30" s="1"/>
  <c r="L99" i="30"/>
  <c r="M99" i="30" s="1"/>
  <c r="M18" i="30"/>
  <c r="N18" i="30" s="1"/>
  <c r="K18" i="30"/>
  <c r="L18" i="30" s="1"/>
  <c r="N100" i="29"/>
  <c r="O100" i="29" s="1"/>
  <c r="L100" i="29"/>
  <c r="M100" i="29" s="1"/>
  <c r="M19" i="29"/>
  <c r="N19" i="29" s="1"/>
  <c r="K19" i="29"/>
  <c r="L19" i="29" s="1"/>
  <c r="N100" i="28"/>
  <c r="O100" i="28" s="1"/>
  <c r="L100" i="28"/>
  <c r="M100" i="28" s="1"/>
  <c r="M19" i="28"/>
  <c r="N19" i="28" s="1"/>
  <c r="K19" i="28"/>
  <c r="L19" i="28" s="1"/>
  <c r="N101" i="27"/>
  <c r="O101" i="27" s="1"/>
  <c r="L101" i="27"/>
  <c r="M101" i="27" s="1"/>
  <c r="M20" i="27"/>
  <c r="N20" i="27" s="1"/>
  <c r="K20" i="27"/>
  <c r="L20" i="27" s="1"/>
  <c r="N104" i="25"/>
  <c r="O104" i="25" s="1"/>
  <c r="L104" i="25"/>
  <c r="M104" i="25" s="1"/>
  <c r="M23" i="25"/>
  <c r="N23" i="25" s="1"/>
  <c r="K23" i="25"/>
  <c r="L23" i="25" s="1"/>
  <c r="N102" i="24"/>
  <c r="O102" i="24" s="1"/>
  <c r="L102" i="24"/>
  <c r="M102" i="24" s="1"/>
  <c r="M21" i="24"/>
  <c r="N21" i="24" s="1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 s="1"/>
  <c r="L104" i="22"/>
  <c r="M104" i="22" s="1"/>
  <c r="M23" i="22"/>
  <c r="N23" i="22" s="1"/>
  <c r="K23" i="22"/>
  <c r="L23" i="22" s="1"/>
  <c r="N107" i="11"/>
  <c r="O107" i="11" s="1"/>
  <c r="L107" i="11"/>
  <c r="M107" i="11" s="1"/>
  <c r="M26" i="11"/>
  <c r="N26" i="11" s="1"/>
  <c r="K26" i="11"/>
  <c r="L26" i="11" s="1"/>
  <c r="N108" i="10"/>
  <c r="O108" i="10" s="1"/>
  <c r="L108" i="10"/>
  <c r="M108" i="10" s="1"/>
  <c r="M27" i="10"/>
  <c r="N27" i="10" s="1"/>
  <c r="K27" i="10"/>
  <c r="L27" i="10" s="1"/>
  <c r="N107" i="9"/>
  <c r="O107" i="9" s="1"/>
  <c r="L107" i="9"/>
  <c r="M107" i="9" s="1"/>
  <c r="M26" i="9"/>
  <c r="N26" i="9" s="1"/>
  <c r="K26" i="9"/>
  <c r="L26" i="9" s="1"/>
  <c r="N106" i="8"/>
  <c r="O106" i="8" s="1"/>
  <c r="L106" i="8"/>
  <c r="M106" i="8" s="1"/>
  <c r="M25" i="8"/>
  <c r="N25" i="8" s="1"/>
  <c r="K25" i="8"/>
  <c r="L25" i="8" s="1"/>
  <c r="N108" i="7"/>
  <c r="O108" i="7" s="1"/>
  <c r="L108" i="7"/>
  <c r="M108" i="7" s="1"/>
  <c r="M27" i="7"/>
  <c r="N27" i="7" s="1"/>
  <c r="K27" i="7"/>
  <c r="L27" i="7" s="1"/>
  <c r="M25" i="6"/>
  <c r="N25" i="6" s="1"/>
  <c r="K25" i="6"/>
  <c r="L25" i="6" s="1"/>
  <c r="N106" i="6"/>
  <c r="O106" i="6" s="1"/>
  <c r="L106" i="6"/>
  <c r="M106" i="6" s="1"/>
  <c r="N105" i="5"/>
  <c r="O105" i="5" s="1"/>
  <c r="L105" i="5"/>
  <c r="M105" i="5" s="1"/>
  <c r="M24" i="5"/>
  <c r="N24" i="5" s="1"/>
  <c r="K24" i="5"/>
  <c r="L24" i="5" s="1"/>
  <c r="N105" i="4"/>
  <c r="O105" i="4" s="1"/>
  <c r="L105" i="4"/>
  <c r="M105" i="4" s="1"/>
  <c r="M24" i="4"/>
  <c r="N24" i="4" s="1"/>
  <c r="K24" i="4"/>
  <c r="L24" i="4" s="1"/>
  <c r="M24" i="3"/>
  <c r="N24" i="3" s="1"/>
  <c r="K24" i="3"/>
  <c r="L24" i="3" s="1"/>
  <c r="N105" i="3"/>
  <c r="O105" i="3" s="1"/>
  <c r="L105" i="3"/>
  <c r="M105" i="3" s="1"/>
  <c r="P39" i="17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2" i="40"/>
  <c r="O101" i="40"/>
  <c r="O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N21" i="40"/>
  <c r="N20" i="40"/>
  <c r="N19" i="40"/>
  <c r="N18" i="40"/>
  <c r="O18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 s="1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3" i="39"/>
  <c r="O102" i="39"/>
  <c r="O101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N22" i="39"/>
  <c r="N21" i="39"/>
  <c r="N20" i="39"/>
  <c r="N19" i="39"/>
  <c r="O19" i="39" s="1"/>
  <c r="C17" i="39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2" i="38"/>
  <c r="O101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N22" i="38"/>
  <c r="N21" i="38"/>
  <c r="N20" i="38"/>
  <c r="N19" i="38"/>
  <c r="C18" i="38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3" i="37"/>
  <c r="O102" i="37"/>
  <c r="O101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N22" i="37"/>
  <c r="N21" i="37"/>
  <c r="N20" i="37"/>
  <c r="O20" i="37" s="1"/>
  <c r="N19" i="37"/>
  <c r="C17" i="37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 s="1"/>
  <c r="S50" i="17"/>
  <c r="M50" i="17"/>
  <c r="N99" i="31"/>
  <c r="O99" i="31" s="1"/>
  <c r="L99" i="31"/>
  <c r="M99" i="31" s="1"/>
  <c r="D96" i="31"/>
  <c r="M18" i="31"/>
  <c r="N18" i="31" s="1"/>
  <c r="K18" i="31"/>
  <c r="L18" i="31" s="1"/>
  <c r="M17" i="30"/>
  <c r="N17" i="30" s="1"/>
  <c r="K17" i="30"/>
  <c r="L17" i="30" s="1"/>
  <c r="N99" i="29"/>
  <c r="O99" i="29" s="1"/>
  <c r="L99" i="29"/>
  <c r="M99" i="29" s="1"/>
  <c r="M18" i="29"/>
  <c r="N18" i="29" s="1"/>
  <c r="K18" i="29"/>
  <c r="L18" i="29" s="1"/>
  <c r="N99" i="28"/>
  <c r="O99" i="28" s="1"/>
  <c r="L99" i="28"/>
  <c r="M99" i="28" s="1"/>
  <c r="M18" i="28"/>
  <c r="N18" i="28" s="1"/>
  <c r="K18" i="28"/>
  <c r="L18" i="28" s="1"/>
  <c r="N103" i="25"/>
  <c r="O103" i="25" s="1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K20" i="24"/>
  <c r="L20" i="24" s="1"/>
  <c r="M21" i="23"/>
  <c r="N21" i="23" s="1"/>
  <c r="K21" i="23"/>
  <c r="L21" i="23" s="1"/>
  <c r="N102" i="23"/>
  <c r="O102" i="23" s="1"/>
  <c r="L102" i="23"/>
  <c r="M102" i="23" s="1"/>
  <c r="N103" i="22"/>
  <c r="O103" i="22" s="1"/>
  <c r="L103" i="22"/>
  <c r="M103" i="22" s="1"/>
  <c r="M22" i="22"/>
  <c r="N22" i="22" s="1"/>
  <c r="K22" i="22"/>
  <c r="L22" i="22" s="1"/>
  <c r="N106" i="11"/>
  <c r="O106" i="11" s="1"/>
  <c r="L106" i="11"/>
  <c r="M106" i="11" s="1"/>
  <c r="M25" i="11"/>
  <c r="N25" i="11" s="1"/>
  <c r="K25" i="11"/>
  <c r="L25" i="11" s="1"/>
  <c r="N107" i="10"/>
  <c r="O107" i="10" s="1"/>
  <c r="L107" i="10"/>
  <c r="M107" i="10" s="1"/>
  <c r="M26" i="10"/>
  <c r="N26" i="10" s="1"/>
  <c r="K26" i="10"/>
  <c r="L26" i="10" s="1"/>
  <c r="N106" i="9"/>
  <c r="O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L24" i="8" s="1"/>
  <c r="N107" i="7"/>
  <c r="O107" i="7" s="1"/>
  <c r="L107" i="7"/>
  <c r="M107" i="7" s="1"/>
  <c r="M26" i="7"/>
  <c r="N26" i="7" s="1"/>
  <c r="K26" i="7"/>
  <c r="L26" i="7" s="1"/>
  <c r="N105" i="6"/>
  <c r="O105" i="6" s="1"/>
  <c r="L105" i="6"/>
  <c r="M105" i="6" s="1"/>
  <c r="M24" i="6"/>
  <c r="N24" i="6" s="1"/>
  <c r="K24" i="6"/>
  <c r="L24" i="6" s="1"/>
  <c r="N104" i="5"/>
  <c r="O104" i="5" s="1"/>
  <c r="L104" i="5"/>
  <c r="M104" i="5" s="1"/>
  <c r="M23" i="5"/>
  <c r="N23" i="5" s="1"/>
  <c r="K23" i="5"/>
  <c r="L23" i="5" s="1"/>
  <c r="N104" i="4"/>
  <c r="O104" i="4" s="1"/>
  <c r="L104" i="4"/>
  <c r="M104" i="4" s="1"/>
  <c r="M23" i="4"/>
  <c r="N23" i="4" s="1"/>
  <c r="K23" i="4"/>
  <c r="L23" i="4" s="1"/>
  <c r="N104" i="3"/>
  <c r="O104" i="3" s="1"/>
  <c r="L104" i="3"/>
  <c r="M104" i="3" s="1"/>
  <c r="M23" i="3"/>
  <c r="N23" i="3" s="1"/>
  <c r="K23" i="3"/>
  <c r="L23" i="3" s="1"/>
  <c r="N100" i="27"/>
  <c r="O100" i="27" s="1"/>
  <c r="L100" i="27"/>
  <c r="M100" i="27" s="1"/>
  <c r="N99" i="27"/>
  <c r="O99" i="27" s="1"/>
  <c r="L99" i="27"/>
  <c r="M99" i="27" s="1"/>
  <c r="M19" i="27"/>
  <c r="N19" i="27" s="1"/>
  <c r="K19" i="27"/>
  <c r="L19" i="27" s="1"/>
  <c r="M17" i="31"/>
  <c r="N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6" i="31"/>
  <c r="O105" i="31"/>
  <c r="O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N25" i="31"/>
  <c r="N24" i="31"/>
  <c r="N23" i="31"/>
  <c r="N22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5" i="30"/>
  <c r="O104" i="30"/>
  <c r="O103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N24" i="30"/>
  <c r="N23" i="30"/>
  <c r="N22" i="30"/>
  <c r="N21" i="30"/>
  <c r="C17" i="30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K17" i="29"/>
  <c r="L17" i="29" s="1"/>
  <c r="M17" i="28"/>
  <c r="N17" i="28" s="1"/>
  <c r="K17" i="28"/>
  <c r="L17" i="28" s="1"/>
  <c r="N102" i="25"/>
  <c r="O102" i="25" s="1"/>
  <c r="L102" i="25"/>
  <c r="M102" i="25" s="1"/>
  <c r="M21" i="25"/>
  <c r="N21" i="25" s="1"/>
  <c r="K21" i="25"/>
  <c r="L21" i="25" s="1"/>
  <c r="N100" i="24"/>
  <c r="O100" i="24" s="1"/>
  <c r="L100" i="24"/>
  <c r="M100" i="24" s="1"/>
  <c r="M19" i="24"/>
  <c r="N19" i="24" s="1"/>
  <c r="K19" i="24"/>
  <c r="L19" i="24" s="1"/>
  <c r="N101" i="23"/>
  <c r="O101" i="23" s="1"/>
  <c r="L101" i="23"/>
  <c r="M101" i="23" s="1"/>
  <c r="M20" i="23"/>
  <c r="N20" i="23" s="1"/>
  <c r="K20" i="23"/>
  <c r="L20" i="23" s="1"/>
  <c r="N102" i="22"/>
  <c r="O102" i="22" s="1"/>
  <c r="L102" i="22"/>
  <c r="M102" i="22" s="1"/>
  <c r="M21" i="22"/>
  <c r="N21" i="22" s="1"/>
  <c r="K21" i="22"/>
  <c r="L21" i="22" s="1"/>
  <c r="N105" i="11"/>
  <c r="O105" i="11" s="1"/>
  <c r="L105" i="11"/>
  <c r="M105" i="11" s="1"/>
  <c r="M24" i="11"/>
  <c r="N24" i="11" s="1"/>
  <c r="K24" i="11"/>
  <c r="L24" i="11" s="1"/>
  <c r="N106" i="10"/>
  <c r="O106" i="10" s="1"/>
  <c r="L106" i="10"/>
  <c r="M106" i="10" s="1"/>
  <c r="M25" i="10"/>
  <c r="N25" i="10" s="1"/>
  <c r="K25" i="10"/>
  <c r="L25" i="10" s="1"/>
  <c r="N105" i="9"/>
  <c r="O105" i="9" s="1"/>
  <c r="L105" i="9"/>
  <c r="M105" i="9" s="1"/>
  <c r="M24" i="9"/>
  <c r="N24" i="9" s="1"/>
  <c r="K24" i="9"/>
  <c r="L24" i="9" s="1"/>
  <c r="N104" i="8"/>
  <c r="O104" i="8" s="1"/>
  <c r="L104" i="8"/>
  <c r="M104" i="8" s="1"/>
  <c r="M23" i="8"/>
  <c r="N23" i="8" s="1"/>
  <c r="K23" i="8"/>
  <c r="L23" i="8" s="1"/>
  <c r="N106" i="7"/>
  <c r="O106" i="7" s="1"/>
  <c r="L106" i="7"/>
  <c r="M106" i="7" s="1"/>
  <c r="M25" i="7"/>
  <c r="N25" i="7" s="1"/>
  <c r="K25" i="7"/>
  <c r="L25" i="7" s="1"/>
  <c r="N104" i="6"/>
  <c r="O104" i="6" s="1"/>
  <c r="L104" i="6"/>
  <c r="M104" i="6" s="1"/>
  <c r="M23" i="6"/>
  <c r="N23" i="6" s="1"/>
  <c r="K23" i="6"/>
  <c r="L23" i="6" s="1"/>
  <c r="N103" i="5"/>
  <c r="O103" i="5" s="1"/>
  <c r="L103" i="5"/>
  <c r="M103" i="5" s="1"/>
  <c r="M22" i="5"/>
  <c r="N22" i="5" s="1"/>
  <c r="K22" i="5"/>
  <c r="L22" i="5" s="1"/>
  <c r="N103" i="4"/>
  <c r="O103" i="4" s="1"/>
  <c r="L103" i="4"/>
  <c r="M103" i="4" s="1"/>
  <c r="M22" i="4"/>
  <c r="N22" i="4" s="1"/>
  <c r="K22" i="4"/>
  <c r="L22" i="4" s="1"/>
  <c r="N103" i="3"/>
  <c r="O103" i="3" s="1"/>
  <c r="L103" i="3"/>
  <c r="M103" i="3" s="1"/>
  <c r="M22" i="3"/>
  <c r="N22" i="3" s="1"/>
  <c r="K22" i="3"/>
  <c r="L22" i="3" s="1"/>
  <c r="D8" i="13"/>
  <c r="D90" i="13" s="1"/>
  <c r="D92" i="23"/>
  <c r="P1" i="29"/>
  <c r="P83" i="29" s="1"/>
  <c r="P1" i="28"/>
  <c r="P83" i="28" s="1"/>
  <c r="P1" i="27"/>
  <c r="P83" i="27" s="1"/>
  <c r="D8" i="29"/>
  <c r="D90" i="29" s="1"/>
  <c r="D8" i="28"/>
  <c r="D90" i="28" s="1"/>
  <c r="D8" i="27"/>
  <c r="D90" i="27" s="1"/>
  <c r="D8" i="25"/>
  <c r="D90" i="25" s="1"/>
  <c r="D8" i="24"/>
  <c r="D90" i="24" s="1"/>
  <c r="D8" i="22"/>
  <c r="D90" i="22" s="1"/>
  <c r="D8" i="11"/>
  <c r="D90" i="11" s="1"/>
  <c r="D8" i="10"/>
  <c r="D90" i="10" s="1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6" i="29"/>
  <c r="O105" i="29"/>
  <c r="O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N25" i="29"/>
  <c r="N24" i="29"/>
  <c r="N23" i="29"/>
  <c r="N22" i="29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6" i="28"/>
  <c r="O105" i="28"/>
  <c r="O104" i="28"/>
  <c r="D96" i="28"/>
  <c r="L93" i="28"/>
  <c r="J93" i="28"/>
  <c r="C99" i="28"/>
  <c r="C100" i="28" s="1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N25" i="28"/>
  <c r="N24" i="28"/>
  <c r="N23" i="28"/>
  <c r="N22" i="28"/>
  <c r="C17" i="28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 s="1"/>
  <c r="K17" i="27"/>
  <c r="L17" i="27" s="1"/>
  <c r="N101" i="25"/>
  <c r="O101" i="25" s="1"/>
  <c r="L101" i="25"/>
  <c r="M101" i="25" s="1"/>
  <c r="N100" i="25"/>
  <c r="O100" i="25" s="1"/>
  <c r="L100" i="25"/>
  <c r="M100" i="25" s="1"/>
  <c r="N99" i="25"/>
  <c r="O99" i="25" s="1"/>
  <c r="L99" i="25"/>
  <c r="M99" i="25" s="1"/>
  <c r="M20" i="25"/>
  <c r="N20" i="25" s="1"/>
  <c r="K20" i="25"/>
  <c r="L20" i="25" s="1"/>
  <c r="D92" i="24"/>
  <c r="N100" i="23"/>
  <c r="O100" i="23" s="1"/>
  <c r="L100" i="23"/>
  <c r="M100" i="23" s="1"/>
  <c r="M19" i="23"/>
  <c r="N19" i="23" s="1"/>
  <c r="K19" i="23"/>
  <c r="L19" i="23" s="1"/>
  <c r="N101" i="22"/>
  <c r="O101" i="22" s="1"/>
  <c r="L101" i="22"/>
  <c r="M101" i="22" s="1"/>
  <c r="M20" i="22"/>
  <c r="N20" i="22" s="1"/>
  <c r="K20" i="22"/>
  <c r="L20" i="22" s="1"/>
  <c r="N104" i="11"/>
  <c r="O104" i="11" s="1"/>
  <c r="L104" i="11"/>
  <c r="M104" i="11" s="1"/>
  <c r="M23" i="11"/>
  <c r="N23" i="11" s="1"/>
  <c r="K23" i="11"/>
  <c r="L23" i="11" s="1"/>
  <c r="N105" i="10"/>
  <c r="O105" i="10" s="1"/>
  <c r="L105" i="10"/>
  <c r="M105" i="10" s="1"/>
  <c r="M24" i="10"/>
  <c r="N24" i="10" s="1"/>
  <c r="K24" i="10"/>
  <c r="L24" i="10" s="1"/>
  <c r="N104" i="9"/>
  <c r="O104" i="9" s="1"/>
  <c r="L104" i="9"/>
  <c r="M104" i="9" s="1"/>
  <c r="M23" i="9"/>
  <c r="N23" i="9" s="1"/>
  <c r="K23" i="9"/>
  <c r="L23" i="9" s="1"/>
  <c r="N103" i="8"/>
  <c r="O103" i="8" s="1"/>
  <c r="L103" i="8"/>
  <c r="M103" i="8" s="1"/>
  <c r="M22" i="8"/>
  <c r="N22" i="8" s="1"/>
  <c r="K22" i="8"/>
  <c r="L22" i="8" s="1"/>
  <c r="N105" i="7"/>
  <c r="O105" i="7" s="1"/>
  <c r="L105" i="7"/>
  <c r="M105" i="7" s="1"/>
  <c r="M24" i="7"/>
  <c r="N24" i="7" s="1"/>
  <c r="K24" i="7"/>
  <c r="L24" i="7" s="1"/>
  <c r="N103" i="6"/>
  <c r="O103" i="6" s="1"/>
  <c r="L103" i="6"/>
  <c r="M103" i="6" s="1"/>
  <c r="M22" i="6"/>
  <c r="N22" i="6" s="1"/>
  <c r="K22" i="6"/>
  <c r="L22" i="6" s="1"/>
  <c r="M21" i="5"/>
  <c r="N21" i="5" s="1"/>
  <c r="K21" i="5"/>
  <c r="L21" i="5" s="1"/>
  <c r="N102" i="4"/>
  <c r="O102" i="4" s="1"/>
  <c r="L102" i="4"/>
  <c r="M102" i="4" s="1"/>
  <c r="M21" i="4"/>
  <c r="N21" i="4" s="1"/>
  <c r="K21" i="4"/>
  <c r="L21" i="4" s="1"/>
  <c r="N102" i="3"/>
  <c r="O102" i="3" s="1"/>
  <c r="L102" i="3"/>
  <c r="M102" i="3" s="1"/>
  <c r="M21" i="3"/>
  <c r="N21" i="3" s="1"/>
  <c r="K21" i="3"/>
  <c r="L21" i="3" s="1"/>
  <c r="P86" i="6"/>
  <c r="O5" i="6"/>
  <c r="P87" i="6" s="1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 s="1"/>
  <c r="M18" i="25"/>
  <c r="N18" i="25" s="1"/>
  <c r="K19" i="25"/>
  <c r="L19" i="25" s="1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7" i="27"/>
  <c r="O106" i="27"/>
  <c r="O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N26" i="27"/>
  <c r="N25" i="27"/>
  <c r="N24" i="27"/>
  <c r="N23" i="27"/>
  <c r="O23" i="27" s="1"/>
  <c r="C17" i="27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K11" i="27"/>
  <c r="I11" i="27"/>
  <c r="M17" i="25"/>
  <c r="N17" i="25" s="1"/>
  <c r="K17" i="25"/>
  <c r="L17" i="25" s="1"/>
  <c r="M17" i="24"/>
  <c r="N17" i="24" s="1"/>
  <c r="K17" i="24"/>
  <c r="L17" i="24" s="1"/>
  <c r="N99" i="23"/>
  <c r="O99" i="23" s="1"/>
  <c r="L99" i="23"/>
  <c r="M99" i="23" s="1"/>
  <c r="M18" i="23"/>
  <c r="N18" i="23" s="1"/>
  <c r="K18" i="23"/>
  <c r="L18" i="23" s="1"/>
  <c r="N100" i="22"/>
  <c r="O100" i="22" s="1"/>
  <c r="L100" i="22"/>
  <c r="M100" i="22" s="1"/>
  <c r="M19" i="22"/>
  <c r="N19" i="22" s="1"/>
  <c r="K19" i="22"/>
  <c r="L19" i="22" s="1"/>
  <c r="N103" i="11"/>
  <c r="O103" i="11" s="1"/>
  <c r="L103" i="11"/>
  <c r="M103" i="11" s="1"/>
  <c r="M22" i="11"/>
  <c r="N22" i="11" s="1"/>
  <c r="K22" i="11"/>
  <c r="L22" i="11" s="1"/>
  <c r="N104" i="10"/>
  <c r="O104" i="10" s="1"/>
  <c r="L104" i="10"/>
  <c r="M104" i="10" s="1"/>
  <c r="M23" i="10"/>
  <c r="N23" i="10" s="1"/>
  <c r="K23" i="10"/>
  <c r="L23" i="10" s="1"/>
  <c r="N103" i="9"/>
  <c r="O103" i="9" s="1"/>
  <c r="L103" i="9"/>
  <c r="M103" i="9" s="1"/>
  <c r="M22" i="9"/>
  <c r="N22" i="9" s="1"/>
  <c r="K22" i="9"/>
  <c r="L22" i="9" s="1"/>
  <c r="N102" i="8"/>
  <c r="O102" i="8" s="1"/>
  <c r="L102" i="8"/>
  <c r="M102" i="8" s="1"/>
  <c r="M21" i="8"/>
  <c r="N21" i="8" s="1"/>
  <c r="K21" i="8"/>
  <c r="L21" i="8" s="1"/>
  <c r="N104" i="7"/>
  <c r="O104" i="7" s="1"/>
  <c r="L104" i="7"/>
  <c r="M104" i="7" s="1"/>
  <c r="M23" i="7"/>
  <c r="N23" i="7" s="1"/>
  <c r="K23" i="7"/>
  <c r="L23" i="7" s="1"/>
  <c r="N102" i="6"/>
  <c r="O102" i="6" s="1"/>
  <c r="L102" i="6"/>
  <c r="M102" i="6" s="1"/>
  <c r="M21" i="6"/>
  <c r="N21" i="6" s="1"/>
  <c r="K21" i="6"/>
  <c r="L21" i="6" s="1"/>
  <c r="N101" i="5"/>
  <c r="O101" i="5" s="1"/>
  <c r="L101" i="5"/>
  <c r="M101" i="5" s="1"/>
  <c r="M20" i="5"/>
  <c r="N20" i="5" s="1"/>
  <c r="K20" i="5"/>
  <c r="L20" i="5" s="1"/>
  <c r="N101" i="4"/>
  <c r="O101" i="4" s="1"/>
  <c r="L101" i="4"/>
  <c r="M101" i="4" s="1"/>
  <c r="M20" i="4"/>
  <c r="N20" i="4" s="1"/>
  <c r="K20" i="4"/>
  <c r="L20" i="4" s="1"/>
  <c r="N101" i="3"/>
  <c r="O101" i="3" s="1"/>
  <c r="L101" i="3"/>
  <c r="M101" i="3" s="1"/>
  <c r="M20" i="3"/>
  <c r="N20" i="3" s="1"/>
  <c r="K20" i="3"/>
  <c r="L20" i="3" s="1"/>
  <c r="I10" i="45"/>
  <c r="F81" i="2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K19" i="4"/>
  <c r="L19" i="4" s="1"/>
  <c r="P19" i="17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L19" i="5" s="1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K20" i="6"/>
  <c r="L20" i="6" s="1"/>
  <c r="P21" i="17"/>
  <c r="C17" i="7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L20" i="8" s="1"/>
  <c r="P23" i="17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 s="1"/>
  <c r="P24" i="17"/>
  <c r="C17" i="10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L22" i="10" s="1"/>
  <c r="P25" i="17"/>
  <c r="C17" i="1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L18" i="22" s="1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L17" i="23" s="1"/>
  <c r="P28" i="17"/>
  <c r="P29" i="17"/>
  <c r="P30" i="17"/>
  <c r="W29" i="17"/>
  <c r="W30" i="17"/>
  <c r="C17" i="13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M19" i="3"/>
  <c r="N19" i="3" s="1"/>
  <c r="M19" i="4"/>
  <c r="N19" i="4" s="1"/>
  <c r="M19" i="5"/>
  <c r="N19" i="5" s="1"/>
  <c r="M20" i="6"/>
  <c r="N20" i="6" s="1"/>
  <c r="M22" i="7"/>
  <c r="N22" i="7" s="1"/>
  <c r="M20" i="8"/>
  <c r="N20" i="8" s="1"/>
  <c r="M21" i="9"/>
  <c r="N21" i="9" s="1"/>
  <c r="M22" i="10"/>
  <c r="N22" i="10" s="1"/>
  <c r="M21" i="11"/>
  <c r="N21" i="11" s="1"/>
  <c r="M18" i="22"/>
  <c r="N18" i="22" s="1"/>
  <c r="M17" i="23"/>
  <c r="N17" i="23" s="1"/>
  <c r="F81" i="1"/>
  <c r="F90" i="1"/>
  <c r="P1" i="25"/>
  <c r="P83" i="25" s="1"/>
  <c r="I11" i="25"/>
  <c r="K11" i="25"/>
  <c r="N27" i="25"/>
  <c r="N28" i="25"/>
  <c r="N29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1" i="25"/>
  <c r="J93" i="25"/>
  <c r="L93" i="25"/>
  <c r="D96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P131" i="25"/>
  <c r="M132" i="25"/>
  <c r="P132" i="25"/>
  <c r="M133" i="25"/>
  <c r="P133" i="25"/>
  <c r="M134" i="25"/>
  <c r="P134" i="25"/>
  <c r="M135" i="25"/>
  <c r="P135" i="25"/>
  <c r="M136" i="25"/>
  <c r="P136" i="25"/>
  <c r="M137" i="25"/>
  <c r="P137" i="25"/>
  <c r="M138" i="25"/>
  <c r="P138" i="25"/>
  <c r="M139" i="25"/>
  <c r="P139" i="25"/>
  <c r="M140" i="25"/>
  <c r="P140" i="25"/>
  <c r="M141" i="25"/>
  <c r="P141" i="25"/>
  <c r="M142" i="25"/>
  <c r="P142" i="25"/>
  <c r="M143" i="25"/>
  <c r="P143" i="25"/>
  <c r="M144" i="25"/>
  <c r="P144" i="25"/>
  <c r="M145" i="25"/>
  <c r="P145" i="25"/>
  <c r="M146" i="25"/>
  <c r="P146" i="25"/>
  <c r="M147" i="25"/>
  <c r="P147" i="25"/>
  <c r="M148" i="25"/>
  <c r="P148" i="25"/>
  <c r="M149" i="25"/>
  <c r="P149" i="25"/>
  <c r="M150" i="25"/>
  <c r="P150" i="25"/>
  <c r="M151" i="25"/>
  <c r="P151" i="25"/>
  <c r="M152" i="25"/>
  <c r="P152" i="25"/>
  <c r="M153" i="25"/>
  <c r="P153" i="25"/>
  <c r="M154" i="25"/>
  <c r="P154" i="25"/>
  <c r="N99" i="22"/>
  <c r="O99" i="22" s="1"/>
  <c r="L99" i="22"/>
  <c r="M99" i="22" s="1"/>
  <c r="N102" i="11"/>
  <c r="O102" i="11" s="1"/>
  <c r="L102" i="11"/>
  <c r="M102" i="11" s="1"/>
  <c r="N103" i="10"/>
  <c r="O103" i="10" s="1"/>
  <c r="L103" i="10"/>
  <c r="M103" i="10" s="1"/>
  <c r="N102" i="9"/>
  <c r="O102" i="9" s="1"/>
  <c r="L102" i="9"/>
  <c r="M102" i="9" s="1"/>
  <c r="N101" i="8"/>
  <c r="O101" i="8" s="1"/>
  <c r="L101" i="8"/>
  <c r="M101" i="8" s="1"/>
  <c r="N103" i="7"/>
  <c r="O103" i="7" s="1"/>
  <c r="L103" i="7"/>
  <c r="M103" i="7" s="1"/>
  <c r="N101" i="6"/>
  <c r="O101" i="6" s="1"/>
  <c r="L101" i="6"/>
  <c r="M101" i="6" s="1"/>
  <c r="N100" i="5"/>
  <c r="O100" i="5" s="1"/>
  <c r="L100" i="5"/>
  <c r="M100" i="5" s="1"/>
  <c r="N100" i="4"/>
  <c r="O100" i="4" s="1"/>
  <c r="L100" i="4"/>
  <c r="M100" i="4" s="1"/>
  <c r="P1" i="24"/>
  <c r="P83" i="24" s="1"/>
  <c r="I11" i="24"/>
  <c r="K11" i="24"/>
  <c r="N25" i="24"/>
  <c r="N26" i="24"/>
  <c r="N27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1" i="24"/>
  <c r="J93" i="24"/>
  <c r="L93" i="24"/>
  <c r="D96" i="24"/>
  <c r="O106" i="24"/>
  <c r="O107" i="24"/>
  <c r="O108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O100" i="3" s="1"/>
  <c r="L100" i="3"/>
  <c r="M100" i="3" s="1"/>
  <c r="M18" i="3"/>
  <c r="N18" i="3" s="1"/>
  <c r="K21" i="10"/>
  <c r="L21" i="10" s="1"/>
  <c r="K18" i="3"/>
  <c r="L18" i="3" s="1"/>
  <c r="K18" i="4"/>
  <c r="L18" i="4" s="1"/>
  <c r="K18" i="5"/>
  <c r="L18" i="5" s="1"/>
  <c r="K19" i="6"/>
  <c r="L19" i="6" s="1"/>
  <c r="K21" i="7"/>
  <c r="L21" i="7" s="1"/>
  <c r="K19" i="8"/>
  <c r="L19" i="8" s="1"/>
  <c r="K20" i="9"/>
  <c r="L20" i="9" s="1"/>
  <c r="K20" i="11"/>
  <c r="L20" i="11" s="1"/>
  <c r="K17" i="22"/>
  <c r="L17" i="22" s="1"/>
  <c r="W28" i="17"/>
  <c r="B19" i="23"/>
  <c r="I17" i="23"/>
  <c r="P1" i="23"/>
  <c r="P83" i="23" s="1"/>
  <c r="I11" i="23"/>
  <c r="K11" i="23"/>
  <c r="B18" i="23"/>
  <c r="N26" i="23"/>
  <c r="N27" i="23"/>
  <c r="N28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O107" i="23"/>
  <c r="O108" i="23"/>
  <c r="O109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 s="1"/>
  <c r="N101" i="11"/>
  <c r="O101" i="11" s="1"/>
  <c r="L101" i="11"/>
  <c r="M101" i="11" s="1"/>
  <c r="M20" i="11"/>
  <c r="N20" i="11" s="1"/>
  <c r="M21" i="10"/>
  <c r="N21" i="10" s="1"/>
  <c r="N102" i="10"/>
  <c r="O102" i="10" s="1"/>
  <c r="L102" i="10"/>
  <c r="M102" i="10" s="1"/>
  <c r="M20" i="9"/>
  <c r="N20" i="9" s="1"/>
  <c r="N101" i="9"/>
  <c r="O101" i="9" s="1"/>
  <c r="L101" i="9"/>
  <c r="M101" i="9" s="1"/>
  <c r="N100" i="8"/>
  <c r="O100" i="8" s="1"/>
  <c r="L100" i="8"/>
  <c r="M100" i="8" s="1"/>
  <c r="M19" i="8"/>
  <c r="N19" i="8" s="1"/>
  <c r="N102" i="7"/>
  <c r="O102" i="7" s="1"/>
  <c r="L102" i="7"/>
  <c r="M102" i="7" s="1"/>
  <c r="M21" i="7"/>
  <c r="N21" i="7" s="1"/>
  <c r="N100" i="6"/>
  <c r="O100" i="6" s="1"/>
  <c r="L100" i="6"/>
  <c r="M100" i="6" s="1"/>
  <c r="M19" i="6"/>
  <c r="N19" i="6" s="1"/>
  <c r="N99" i="5"/>
  <c r="O99" i="5" s="1"/>
  <c r="L99" i="5"/>
  <c r="M99" i="5" s="1"/>
  <c r="M18" i="5"/>
  <c r="N18" i="5" s="1"/>
  <c r="N99" i="4"/>
  <c r="O99" i="4" s="1"/>
  <c r="L99" i="4"/>
  <c r="M99" i="4" s="1"/>
  <c r="M18" i="4"/>
  <c r="N18" i="4" s="1"/>
  <c r="N99" i="3"/>
  <c r="O99" i="3" s="1"/>
  <c r="L99" i="3"/>
  <c r="M99" i="3" s="1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W27" i="17"/>
  <c r="N99" i="6"/>
  <c r="O99" i="6" s="1"/>
  <c r="P1" i="22"/>
  <c r="P83" i="22" s="1"/>
  <c r="I11" i="22"/>
  <c r="K11" i="22"/>
  <c r="I17" i="22"/>
  <c r="I18" i="22"/>
  <c r="N27" i="22"/>
  <c r="N28" i="22"/>
  <c r="N29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O108" i="22"/>
  <c r="O109" i="22"/>
  <c r="O110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I18" i="11"/>
  <c r="L18" i="11"/>
  <c r="N18" i="11"/>
  <c r="I19" i="11"/>
  <c r="L19" i="11"/>
  <c r="N19" i="11"/>
  <c r="I20" i="11"/>
  <c r="I21" i="11"/>
  <c r="N30" i="11"/>
  <c r="N31" i="11"/>
  <c r="N32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J102" i="11"/>
  <c r="O111" i="11"/>
  <c r="O112" i="11"/>
  <c r="O113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I18" i="10"/>
  <c r="L18" i="10"/>
  <c r="N18" i="10"/>
  <c r="I19" i="10"/>
  <c r="L19" i="10"/>
  <c r="N19" i="10"/>
  <c r="I20" i="10"/>
  <c r="L20" i="10"/>
  <c r="N20" i="10"/>
  <c r="I21" i="10"/>
  <c r="I22" i="10"/>
  <c r="N31" i="10"/>
  <c r="N32" i="10"/>
  <c r="N33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J102" i="10"/>
  <c r="J103" i="10"/>
  <c r="O112" i="10"/>
  <c r="O113" i="10"/>
  <c r="O114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I18" i="9"/>
  <c r="L18" i="9"/>
  <c r="N18" i="9"/>
  <c r="I19" i="9"/>
  <c r="L19" i="9"/>
  <c r="N19" i="9"/>
  <c r="I21" i="9"/>
  <c r="N30" i="9"/>
  <c r="N31" i="9"/>
  <c r="N32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J102" i="9"/>
  <c r="O111" i="9"/>
  <c r="O112" i="9"/>
  <c r="O113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I19" i="8"/>
  <c r="I20" i="8"/>
  <c r="N29" i="8"/>
  <c r="N30" i="8"/>
  <c r="N31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O99" i="8"/>
  <c r="J100" i="8"/>
  <c r="J101" i="8"/>
  <c r="O110" i="8"/>
  <c r="O111" i="8"/>
  <c r="O112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I18" i="7"/>
  <c r="N18" i="7"/>
  <c r="I19" i="7"/>
  <c r="L19" i="7"/>
  <c r="N19" i="7"/>
  <c r="I20" i="7"/>
  <c r="L20" i="7"/>
  <c r="N20" i="7"/>
  <c r="I21" i="7"/>
  <c r="I22" i="7"/>
  <c r="N31" i="7"/>
  <c r="N32" i="7"/>
  <c r="N33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J101" i="7"/>
  <c r="O101" i="7"/>
  <c r="J102" i="7"/>
  <c r="J103" i="7"/>
  <c r="O112" i="7"/>
  <c r="O113" i="7"/>
  <c r="O114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I18" i="6"/>
  <c r="L18" i="6"/>
  <c r="N18" i="6"/>
  <c r="N29" i="6"/>
  <c r="N30" i="6"/>
  <c r="N31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J101" i="6"/>
  <c r="O110" i="6"/>
  <c r="O111" i="6"/>
  <c r="O112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I18" i="5"/>
  <c r="I19" i="5"/>
  <c r="N28" i="5"/>
  <c r="N29" i="5"/>
  <c r="N30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J100" i="5"/>
  <c r="O109" i="5"/>
  <c r="O110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I19" i="4"/>
  <c r="N29" i="4"/>
  <c r="N30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J100" i="4"/>
  <c r="O109" i="4"/>
  <c r="O110" i="4"/>
  <c r="O111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N28" i="3"/>
  <c r="N29" i="3"/>
  <c r="N30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J100" i="3"/>
  <c r="O109" i="3"/>
  <c r="O110" i="3"/>
  <c r="O111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D17" i="2"/>
  <c r="E17" i="2"/>
  <c r="D18" i="2"/>
  <c r="E18" i="2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B104" i="11"/>
  <c r="B24" i="10"/>
  <c r="B104" i="9"/>
  <c r="B23" i="9"/>
  <c r="B102" i="5"/>
  <c r="B102" i="3"/>
  <c r="B21" i="3"/>
  <c r="B19" i="25"/>
  <c r="B20" i="25"/>
  <c r="I18" i="25"/>
  <c r="C99" i="27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 s="1"/>
  <c r="B18" i="24"/>
  <c r="C99" i="24"/>
  <c r="C100" i="24" s="1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B25" i="10"/>
  <c r="B24" i="9"/>
  <c r="B23" i="8"/>
  <c r="B104" i="6"/>
  <c r="B22" i="5"/>
  <c r="M18" i="24"/>
  <c r="N18" i="24" s="1"/>
  <c r="B100" i="24"/>
  <c r="N99" i="24"/>
  <c r="O99" i="24" s="1"/>
  <c r="L99" i="24"/>
  <c r="M99" i="24" s="1"/>
  <c r="J99" i="24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B107" i="10"/>
  <c r="B26" i="10"/>
  <c r="B24" i="8"/>
  <c r="B107" i="7"/>
  <c r="B26" i="7"/>
  <c r="B24" i="6"/>
  <c r="B104" i="4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B100" i="29"/>
  <c r="B19" i="29"/>
  <c r="B108" i="10"/>
  <c r="B26" i="9"/>
  <c r="B27" i="7"/>
  <c r="B106" i="6"/>
  <c r="B24" i="4"/>
  <c r="B105" i="3"/>
  <c r="K18" i="27"/>
  <c r="L18" i="27" s="1"/>
  <c r="B103" i="23"/>
  <c r="B100" i="27"/>
  <c r="B19" i="27"/>
  <c r="I18" i="27"/>
  <c r="M18" i="27"/>
  <c r="N18" i="27" s="1"/>
  <c r="I19" i="27"/>
  <c r="B101" i="27"/>
  <c r="J100" i="27"/>
  <c r="B100" i="28"/>
  <c r="B18" i="30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B28" i="7"/>
  <c r="C99" i="13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24" i="25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B18" i="39"/>
  <c r="B18" i="37"/>
  <c r="B103" i="27"/>
  <c r="B25" i="25"/>
  <c r="B25" i="22"/>
  <c r="B28" i="11"/>
  <c r="B109" i="9"/>
  <c r="B107" i="5"/>
  <c r="A2" i="2"/>
  <c r="I10" i="7"/>
  <c r="I10" i="25"/>
  <c r="D93" i="25" s="1"/>
  <c r="C99" i="25" s="1"/>
  <c r="I10" i="31"/>
  <c r="D94" i="3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27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D94" i="29" s="1"/>
  <c r="I10" i="38"/>
  <c r="I10" i="30"/>
  <c r="D93" i="30" s="1"/>
  <c r="C99" i="30" s="1"/>
  <c r="I10" i="9"/>
  <c r="I10" i="13"/>
  <c r="D92" i="13" s="1"/>
  <c r="E99" i="13" s="1"/>
  <c r="B108" i="6"/>
  <c r="B21" i="31"/>
  <c r="I20" i="31"/>
  <c r="J101" i="31"/>
  <c r="B102" i="31"/>
  <c r="J92" i="41"/>
  <c r="L86" i="41" s="1"/>
  <c r="B109" i="6"/>
  <c r="B110" i="11"/>
  <c r="B18" i="38"/>
  <c r="I17" i="38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B19" i="38"/>
  <c r="B103" i="28"/>
  <c r="B22" i="28"/>
  <c r="B109" i="8"/>
  <c r="B27" i="3"/>
  <c r="B101" i="30"/>
  <c r="B104" i="27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I10" i="44"/>
  <c r="I10" i="46"/>
  <c r="I10" i="43"/>
  <c r="O57" i="17"/>
  <c r="C57" i="17"/>
  <c r="D57" i="17"/>
  <c r="E57" i="17"/>
  <c r="F57" i="17"/>
  <c r="N57" i="17"/>
  <c r="D8" i="3" l="1"/>
  <c r="D90" i="3" s="1"/>
  <c r="D92" i="3"/>
  <c r="P99" i="31"/>
  <c r="C100" i="25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O23" i="23"/>
  <c r="O24" i="8"/>
  <c r="P103" i="7"/>
  <c r="P102" i="9"/>
  <c r="P102" i="11"/>
  <c r="P103" i="11"/>
  <c r="O20" i="25"/>
  <c r="P100" i="25"/>
  <c r="P103" i="8"/>
  <c r="P99" i="10"/>
  <c r="P101" i="7"/>
  <c r="P101" i="4"/>
  <c r="P104" i="7"/>
  <c r="P99" i="23"/>
  <c r="O25" i="10"/>
  <c r="O26" i="7"/>
  <c r="O25" i="9"/>
  <c r="O18" i="39"/>
  <c r="O19" i="6"/>
  <c r="P103" i="27"/>
  <c r="C59" i="1"/>
  <c r="O23" i="7"/>
  <c r="P99" i="5"/>
  <c r="P100" i="11"/>
  <c r="P102" i="24"/>
  <c r="I12" i="3"/>
  <c r="I13" i="3" s="1"/>
  <c r="O20" i="5"/>
  <c r="O21" i="11"/>
  <c r="O22" i="7"/>
  <c r="O19" i="3"/>
  <c r="P104" i="10"/>
  <c r="P109" i="10"/>
  <c r="P102" i="4"/>
  <c r="O22" i="6"/>
  <c r="O24" i="7"/>
  <c r="D99" i="24"/>
  <c r="P105" i="10"/>
  <c r="P104" i="11"/>
  <c r="P101" i="22"/>
  <c r="O27" i="9"/>
  <c r="P100" i="30"/>
  <c r="O17" i="37"/>
  <c r="P100" i="6"/>
  <c r="O20" i="4"/>
  <c r="O18" i="25"/>
  <c r="P99" i="7"/>
  <c r="O19" i="7"/>
  <c r="P100" i="5"/>
  <c r="P100" i="23"/>
  <c r="P103" i="5"/>
  <c r="P106" i="7"/>
  <c r="P102" i="22"/>
  <c r="O17" i="28"/>
  <c r="P99" i="27"/>
  <c r="O23" i="5"/>
  <c r="O24" i="6"/>
  <c r="P99" i="29"/>
  <c r="O18" i="31"/>
  <c r="O24" i="4"/>
  <c r="O24" i="25"/>
  <c r="O20" i="28"/>
  <c r="O17" i="4"/>
  <c r="O18" i="22"/>
  <c r="O23" i="6"/>
  <c r="O24" i="11"/>
  <c r="P104" i="4"/>
  <c r="P105" i="6"/>
  <c r="P103" i="24"/>
  <c r="P100" i="24"/>
  <c r="P99" i="39"/>
  <c r="O19" i="5"/>
  <c r="P102" i="10"/>
  <c r="P101" i="11"/>
  <c r="O33" i="27"/>
  <c r="P103" i="6"/>
  <c r="P102" i="25"/>
  <c r="O58" i="37"/>
  <c r="O24" i="5"/>
  <c r="O27" i="7"/>
  <c r="O26" i="9"/>
  <c r="O19" i="29"/>
  <c r="P101" i="29"/>
  <c r="P107" i="3"/>
  <c r="P108" i="8"/>
  <c r="P102" i="5"/>
  <c r="P106" i="10"/>
  <c r="P105" i="11"/>
  <c r="O26" i="10"/>
  <c r="O25" i="11"/>
  <c r="P105" i="4"/>
  <c r="P106" i="8"/>
  <c r="P102" i="27"/>
  <c r="O26" i="6"/>
  <c r="P99" i="37"/>
  <c r="I12" i="40"/>
  <c r="I13" i="40" s="1"/>
  <c r="O18" i="6"/>
  <c r="O24" i="10"/>
  <c r="P101" i="25"/>
  <c r="P107" i="7"/>
  <c r="P105" i="8"/>
  <c r="P101" i="24"/>
  <c r="P105" i="22"/>
  <c r="I12" i="38"/>
  <c r="I13" i="38" s="1"/>
  <c r="I12" i="25"/>
  <c r="I13" i="25" s="1"/>
  <c r="F18" i="1"/>
  <c r="P102" i="7"/>
  <c r="O17" i="23"/>
  <c r="P106" i="9"/>
  <c r="P109" i="7"/>
  <c r="P107" i="8"/>
  <c r="O27" i="11"/>
  <c r="O20" i="29"/>
  <c r="O20" i="31"/>
  <c r="P106" i="22"/>
  <c r="O18" i="28"/>
  <c r="P99" i="38"/>
  <c r="I12" i="13"/>
  <c r="I13" i="13" s="1"/>
  <c r="I12" i="42"/>
  <c r="I13" i="42" s="1"/>
  <c r="P102" i="6"/>
  <c r="P103" i="9"/>
  <c r="O17" i="9"/>
  <c r="O21" i="10"/>
  <c r="O17" i="25"/>
  <c r="P99" i="25"/>
  <c r="O22" i="3"/>
  <c r="O22" i="4"/>
  <c r="O22" i="5"/>
  <c r="O24" i="9"/>
  <c r="O21" i="22"/>
  <c r="P104" i="5"/>
  <c r="O22" i="25"/>
  <c r="P99" i="28"/>
  <c r="O17" i="39"/>
  <c r="P107" i="11"/>
  <c r="O23" i="25"/>
  <c r="P99" i="30"/>
  <c r="P108" i="11"/>
  <c r="O24" i="22"/>
  <c r="P99" i="4"/>
  <c r="I12" i="28"/>
  <c r="I13" i="28" s="1"/>
  <c r="O20" i="7"/>
  <c r="O17" i="7"/>
  <c r="O18" i="9"/>
  <c r="P99" i="11"/>
  <c r="O19" i="11"/>
  <c r="P100" i="22"/>
  <c r="O20" i="11"/>
  <c r="O23" i="9"/>
  <c r="O23" i="4"/>
  <c r="P103" i="23"/>
  <c r="P107" i="10"/>
  <c r="P106" i="11"/>
  <c r="P103" i="22"/>
  <c r="O21" i="23"/>
  <c r="O19" i="25"/>
  <c r="O22" i="22"/>
  <c r="P102" i="23"/>
  <c r="P101" i="5"/>
  <c r="P106" i="4"/>
  <c r="P104" i="23"/>
  <c r="D8" i="23"/>
  <c r="D90" i="23" s="1"/>
  <c r="P101" i="3"/>
  <c r="O20" i="10"/>
  <c r="P99" i="6"/>
  <c r="O18" i="4"/>
  <c r="O21" i="9"/>
  <c r="O18" i="23"/>
  <c r="O21" i="5"/>
  <c r="O22" i="8"/>
  <c r="P103" i="3"/>
  <c r="P104" i="3"/>
  <c r="O20" i="24"/>
  <c r="C77" i="1"/>
  <c r="F99" i="13"/>
  <c r="G99" i="13" s="1"/>
  <c r="O18" i="27"/>
  <c r="F14" i="2"/>
  <c r="E19" i="2" s="1"/>
  <c r="F19" i="2" s="1"/>
  <c r="O18" i="8"/>
  <c r="O19" i="9"/>
  <c r="O43" i="27"/>
  <c r="P102" i="3"/>
  <c r="O31" i="39"/>
  <c r="O35" i="39"/>
  <c r="O45" i="39"/>
  <c r="O67" i="39"/>
  <c r="P101" i="27"/>
  <c r="P106" i="25"/>
  <c r="P99" i="3"/>
  <c r="O17" i="3"/>
  <c r="O17" i="6"/>
  <c r="P101" i="9"/>
  <c r="R12" i="17"/>
  <c r="T12" i="17" s="1"/>
  <c r="P103" i="10"/>
  <c r="P99" i="22"/>
  <c r="O21" i="4"/>
  <c r="P108" i="7"/>
  <c r="O28" i="10"/>
  <c r="P102" i="29"/>
  <c r="P102" i="31"/>
  <c r="O37" i="22"/>
  <c r="J94" i="10"/>
  <c r="J95" i="10" s="1"/>
  <c r="J94" i="24"/>
  <c r="J95" i="24" s="1"/>
  <c r="J94" i="40"/>
  <c r="J95" i="40" s="1"/>
  <c r="J94" i="5"/>
  <c r="J95" i="5" s="1"/>
  <c r="J94" i="42"/>
  <c r="J95" i="42" s="1"/>
  <c r="J94" i="37"/>
  <c r="J95" i="37" s="1"/>
  <c r="I12" i="31"/>
  <c r="I13" i="31" s="1"/>
  <c r="I12" i="22"/>
  <c r="I13" i="22" s="1"/>
  <c r="I12" i="8"/>
  <c r="I13" i="8" s="1"/>
  <c r="I12" i="30"/>
  <c r="I13" i="30" s="1"/>
  <c r="I12" i="29"/>
  <c r="I13" i="29" s="1"/>
  <c r="O20" i="22"/>
  <c r="I12" i="27"/>
  <c r="I13" i="27" s="1"/>
  <c r="I12" i="23"/>
  <c r="I13" i="23" s="1"/>
  <c r="I12" i="5"/>
  <c r="I13" i="5" s="1"/>
  <c r="I12" i="11"/>
  <c r="I13" i="11" s="1"/>
  <c r="I12" i="10"/>
  <c r="I13" i="10" s="1"/>
  <c r="I12" i="24"/>
  <c r="I13" i="24" s="1"/>
  <c r="O18" i="5"/>
  <c r="P105" i="7"/>
  <c r="P110" i="10"/>
  <c r="P104" i="24"/>
  <c r="I12" i="39"/>
  <c r="I13" i="39" s="1"/>
  <c r="I12" i="7"/>
  <c r="I13" i="7" s="1"/>
  <c r="I12" i="41"/>
  <c r="I13" i="41" s="1"/>
  <c r="I12" i="9"/>
  <c r="I13" i="9" s="1"/>
  <c r="I12" i="6"/>
  <c r="I13" i="6" s="1"/>
  <c r="I12" i="4"/>
  <c r="I13" i="4" s="1"/>
  <c r="I12" i="37"/>
  <c r="I13" i="37" s="1"/>
  <c r="O19" i="4"/>
  <c r="P101" i="8"/>
  <c r="P99" i="8"/>
  <c r="O20" i="8"/>
  <c r="P101" i="10"/>
  <c r="O17" i="10"/>
  <c r="O31" i="22"/>
  <c r="O20" i="9"/>
  <c r="O18" i="3"/>
  <c r="O21" i="3"/>
  <c r="P104" i="8"/>
  <c r="O17" i="29"/>
  <c r="O23" i="3"/>
  <c r="O17" i="38"/>
  <c r="O54" i="40"/>
  <c r="O60" i="40"/>
  <c r="O26" i="11"/>
  <c r="O25" i="3"/>
  <c r="O25" i="4"/>
  <c r="P106" i="5"/>
  <c r="O27" i="8"/>
  <c r="O25" i="22"/>
  <c r="O23" i="24"/>
  <c r="P102" i="28"/>
  <c r="O17" i="40"/>
  <c r="P100" i="3"/>
  <c r="P101" i="6"/>
  <c r="O20" i="6"/>
  <c r="O17" i="8"/>
  <c r="O22" i="10"/>
  <c r="O18" i="10"/>
  <c r="O17" i="24"/>
  <c r="P104" i="9"/>
  <c r="P103" i="4"/>
  <c r="P105" i="9"/>
  <c r="O20" i="23"/>
  <c r="P101" i="23"/>
  <c r="O17" i="31"/>
  <c r="O19" i="27"/>
  <c r="P100" i="27"/>
  <c r="P105" i="5"/>
  <c r="P106" i="6"/>
  <c r="P104" i="25"/>
  <c r="O19" i="31"/>
  <c r="O25" i="5"/>
  <c r="P108" i="9"/>
  <c r="O21" i="27"/>
  <c r="O19" i="30"/>
  <c r="P107" i="5"/>
  <c r="P99" i="24"/>
  <c r="F17" i="1"/>
  <c r="P100" i="4"/>
  <c r="O17" i="5"/>
  <c r="P100" i="7"/>
  <c r="O21" i="7"/>
  <c r="P102" i="8"/>
  <c r="O19" i="10"/>
  <c r="O17" i="11"/>
  <c r="O17" i="27"/>
  <c r="O25" i="7"/>
  <c r="O23" i="8"/>
  <c r="O55" i="31"/>
  <c r="O24" i="3"/>
  <c r="O27" i="10"/>
  <c r="O23" i="22"/>
  <c r="O22" i="24"/>
  <c r="C61" i="2"/>
  <c r="C76" i="2"/>
  <c r="J94" i="39"/>
  <c r="J95" i="39" s="1"/>
  <c r="J94" i="41"/>
  <c r="J95" i="41" s="1"/>
  <c r="J94" i="22"/>
  <c r="J95" i="22" s="1"/>
  <c r="F17" i="2"/>
  <c r="J94" i="29"/>
  <c r="J95" i="29" s="1"/>
  <c r="J94" i="23"/>
  <c r="J95" i="23" s="1"/>
  <c r="J94" i="31"/>
  <c r="J95" i="31" s="1"/>
  <c r="F18" i="2"/>
  <c r="T14" i="17"/>
  <c r="E13" i="17"/>
  <c r="O43" i="22"/>
  <c r="O31" i="9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65" i="38"/>
  <c r="O69" i="11"/>
  <c r="O37" i="11"/>
  <c r="O70" i="23"/>
  <c r="O64" i="23"/>
  <c r="O60" i="23"/>
  <c r="O58" i="23"/>
  <c r="O54" i="23"/>
  <c r="O52" i="23"/>
  <c r="O50" i="23"/>
  <c r="O46" i="23"/>
  <c r="O42" i="23"/>
  <c r="O39" i="28"/>
  <c r="O53" i="28"/>
  <c r="O57" i="28"/>
  <c r="O71" i="28"/>
  <c r="O52" i="30"/>
  <c r="O30" i="37"/>
  <c r="O54" i="37"/>
  <c r="O62" i="37"/>
  <c r="O72" i="25"/>
  <c r="O25" i="44"/>
  <c r="O33" i="44"/>
  <c r="O41" i="44"/>
  <c r="O49" i="44"/>
  <c r="O57" i="44"/>
  <c r="O65" i="44"/>
  <c r="O69" i="44"/>
  <c r="O62" i="8"/>
  <c r="O58" i="8"/>
  <c r="O54" i="13"/>
  <c r="O50" i="13"/>
  <c r="O46" i="13"/>
  <c r="O67" i="29"/>
  <c r="O38" i="38"/>
  <c r="O51" i="42"/>
  <c r="O71" i="22"/>
  <c r="O67" i="22"/>
  <c r="O47" i="30"/>
  <c r="O29" i="5"/>
  <c r="O39" i="6"/>
  <c r="O58" i="9"/>
  <c r="O38" i="9"/>
  <c r="O59" i="22"/>
  <c r="O47" i="22"/>
  <c r="O41" i="22"/>
  <c r="O39" i="22"/>
  <c r="O29" i="22"/>
  <c r="O23" i="30"/>
  <c r="O37" i="31"/>
  <c r="O51" i="31"/>
  <c r="O25" i="39"/>
  <c r="O41" i="39"/>
  <c r="O51" i="39"/>
  <c r="O55" i="39"/>
  <c r="O45" i="40"/>
  <c r="O52" i="44"/>
  <c r="O38" i="5"/>
  <c r="O25" i="27"/>
  <c r="O29" i="27"/>
  <c r="O37" i="27"/>
  <c r="O39" i="27"/>
  <c r="O45" i="27"/>
  <c r="O47" i="27"/>
  <c r="O51" i="27"/>
  <c r="O53" i="27"/>
  <c r="O55" i="27"/>
  <c r="O57" i="27"/>
  <c r="O59" i="27"/>
  <c r="O61" i="27"/>
  <c r="O65" i="27"/>
  <c r="O67" i="27"/>
  <c r="O26" i="29"/>
  <c r="O34" i="29"/>
  <c r="O36" i="29"/>
  <c r="O40" i="29"/>
  <c r="O22" i="37"/>
  <c r="O24" i="37"/>
  <c r="O26" i="37"/>
  <c r="O28" i="37"/>
  <c r="O32" i="37"/>
  <c r="O34" i="37"/>
  <c r="O36" i="37"/>
  <c r="O38" i="37"/>
  <c r="O50" i="37"/>
  <c r="O52" i="37"/>
  <c r="O56" i="37"/>
  <c r="O66" i="37"/>
  <c r="O68" i="37"/>
  <c r="O70" i="37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51" i="45"/>
  <c r="O55" i="45"/>
  <c r="O59" i="45"/>
  <c r="O67" i="45"/>
  <c r="O71" i="45"/>
  <c r="O33" i="41"/>
  <c r="O57" i="41"/>
  <c r="P101" i="31"/>
  <c r="O49" i="42"/>
  <c r="O31" i="38"/>
  <c r="O18" i="38"/>
  <c r="O60" i="37"/>
  <c r="O18" i="37"/>
  <c r="O23" i="31"/>
  <c r="O27" i="31"/>
  <c r="O47" i="31"/>
  <c r="O50" i="29"/>
  <c r="O52" i="29"/>
  <c r="O56" i="29"/>
  <c r="O64" i="29"/>
  <c r="O22" i="27"/>
  <c r="O68" i="25"/>
  <c r="O64" i="25"/>
  <c r="O62" i="25"/>
  <c r="O60" i="25"/>
  <c r="O56" i="25"/>
  <c r="O54" i="25"/>
  <c r="O50" i="25"/>
  <c r="O48" i="25"/>
  <c r="O44" i="25"/>
  <c r="O36" i="25"/>
  <c r="O34" i="25"/>
  <c r="O30" i="25"/>
  <c r="O28" i="25"/>
  <c r="O71" i="24"/>
  <c r="O61" i="24"/>
  <c r="O37" i="24"/>
  <c r="O33" i="23"/>
  <c r="O53" i="9"/>
  <c r="O55" i="7"/>
  <c r="O49" i="7"/>
  <c r="O48" i="5"/>
  <c r="O40" i="5"/>
  <c r="O28" i="5"/>
  <c r="O26" i="5"/>
  <c r="D94" i="6"/>
  <c r="D94" i="13"/>
  <c r="D93" i="3"/>
  <c r="C99" i="3" s="1"/>
  <c r="D94" i="5"/>
  <c r="D94" i="23"/>
  <c r="O62" i="3"/>
  <c r="O34" i="3"/>
  <c r="O71" i="4"/>
  <c r="O55" i="4"/>
  <c r="O67" i="6"/>
  <c r="O47" i="6"/>
  <c r="O69" i="7"/>
  <c r="O65" i="7"/>
  <c r="O57" i="7"/>
  <c r="O51" i="7"/>
  <c r="O45" i="7"/>
  <c r="O39" i="7"/>
  <c r="O31" i="7"/>
  <c r="O25" i="31"/>
  <c r="O35" i="31"/>
  <c r="O41" i="31"/>
  <c r="O59" i="31"/>
  <c r="O67" i="31"/>
  <c r="O69" i="31"/>
  <c r="O71" i="31"/>
  <c r="O72" i="31"/>
  <c r="J92" i="25"/>
  <c r="M87" i="25" s="1"/>
  <c r="J92" i="10"/>
  <c r="N87" i="10" s="1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N87" i="28" s="1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B18" i="46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50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P129" i="4"/>
  <c r="P113" i="4"/>
  <c r="C82" i="2"/>
  <c r="C59" i="2"/>
  <c r="C14" i="2"/>
  <c r="C39" i="2"/>
  <c r="C77" i="2"/>
  <c r="C80" i="2"/>
  <c r="C28" i="2"/>
  <c r="C62" i="2"/>
  <c r="C10" i="2"/>
  <c r="C56" i="2"/>
  <c r="C8" i="2"/>
  <c r="C55" i="2"/>
  <c r="C73" i="2"/>
  <c r="C50" i="2"/>
  <c r="C22" i="2"/>
  <c r="P107" i="38"/>
  <c r="P128" i="25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18" i="45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P130" i="31"/>
  <c r="P104" i="41"/>
  <c r="P120" i="11"/>
  <c r="P104" i="28"/>
  <c r="P116" i="28"/>
  <c r="P126" i="28"/>
  <c r="P126" i="31"/>
  <c r="P102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P129" i="22"/>
  <c r="P125" i="22"/>
  <c r="P117" i="22"/>
  <c r="P115" i="22"/>
  <c r="P117" i="25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2" i="11"/>
  <c r="P125" i="24"/>
  <c r="P119" i="24"/>
  <c r="P117" i="24"/>
  <c r="P115" i="24"/>
  <c r="P113" i="24"/>
  <c r="P111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50" i="7"/>
  <c r="P138" i="7"/>
  <c r="P128" i="7"/>
  <c r="P126" i="7"/>
  <c r="P122" i="7"/>
  <c r="P114" i="7"/>
  <c r="P137" i="8"/>
  <c r="P137" i="10"/>
  <c r="P126" i="13"/>
  <c r="P117" i="23"/>
  <c r="P129" i="25"/>
  <c r="P123" i="25"/>
  <c r="P115" i="25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D94" i="9"/>
  <c r="D93" i="9"/>
  <c r="D94" i="8"/>
  <c r="D93" i="8"/>
  <c r="D93" i="7"/>
  <c r="D94" i="7"/>
  <c r="O18" i="24"/>
  <c r="O19" i="8"/>
  <c r="B28" i="8"/>
  <c r="B26" i="22"/>
  <c r="O59" i="3"/>
  <c r="O49" i="3"/>
  <c r="O49" i="4"/>
  <c r="O20" i="3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O49" i="23"/>
  <c r="O26" i="23"/>
  <c r="O68" i="24"/>
  <c r="O45" i="24"/>
  <c r="O43" i="24"/>
  <c r="O67" i="25"/>
  <c r="O46" i="25"/>
  <c r="O22" i="11"/>
  <c r="O19" i="22"/>
  <c r="P119" i="25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M87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2" i="9"/>
  <c r="P124" i="22"/>
  <c r="P122" i="22"/>
  <c r="P125" i="25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20" i="25"/>
  <c r="P116" i="25"/>
  <c r="P114" i="25"/>
  <c r="P110" i="28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L86" i="45"/>
  <c r="F48" i="2"/>
  <c r="F52" i="2" s="1"/>
  <c r="P120" i="6"/>
  <c r="P127" i="8"/>
  <c r="P123" i="8"/>
  <c r="P121" i="8"/>
  <c r="P117" i="8"/>
  <c r="P113" i="9"/>
  <c r="P138" i="10"/>
  <c r="P123" i="11"/>
  <c r="P121" i="11"/>
  <c r="P129" i="13"/>
  <c r="P127" i="13"/>
  <c r="P115" i="13"/>
  <c r="P107" i="13"/>
  <c r="P105" i="13"/>
  <c r="P99" i="13"/>
  <c r="P113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P126" i="25"/>
  <c r="P124" i="25"/>
  <c r="P122" i="25"/>
  <c r="P118" i="25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5" i="9" s="1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13" i="25"/>
  <c r="P109" i="25"/>
  <c r="P128" i="29"/>
  <c r="P105" i="30"/>
  <c r="P123" i="37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9" i="29"/>
  <c r="P115" i="29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27" i="25"/>
  <c r="P106" i="24"/>
  <c r="P105" i="44"/>
  <c r="P112" i="45"/>
  <c r="P142" i="4"/>
  <c r="P132" i="4"/>
  <c r="P154" i="5"/>
  <c r="P112" i="2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30" i="25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0" i="24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21" i="25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29" i="28"/>
  <c r="P108" i="30"/>
  <c r="P110" i="38"/>
  <c r="P120" i="43"/>
  <c r="P130" i="43"/>
  <c r="P118" i="44"/>
  <c r="C33" i="17"/>
  <c r="C35" i="17"/>
  <c r="D20" i="17"/>
  <c r="D40" i="17"/>
  <c r="C26" i="17"/>
  <c r="C38" i="17"/>
  <c r="D44" i="17"/>
  <c r="D29" i="17"/>
  <c r="C20" i="17"/>
  <c r="C32" i="17"/>
  <c r="C48" i="17"/>
  <c r="C36" i="17"/>
  <c r="D32" i="17"/>
  <c r="D47" i="17"/>
  <c r="C27" i="17"/>
  <c r="D43" i="17"/>
  <c r="D45" i="17"/>
  <c r="C45" i="17"/>
  <c r="C28" i="17"/>
  <c r="D36" i="17"/>
  <c r="C44" i="17"/>
  <c r="C30" i="17"/>
  <c r="C29" i="17"/>
  <c r="D37" i="17"/>
  <c r="D26" i="17"/>
  <c r="D48" i="17"/>
  <c r="D46" i="17"/>
  <c r="C19" i="17"/>
  <c r="D19" i="17"/>
  <c r="C23" i="17"/>
  <c r="C37" i="17"/>
  <c r="C46" i="17"/>
  <c r="C47" i="17"/>
  <c r="C18" i="17"/>
  <c r="C39" i="17"/>
  <c r="H17" i="13" l="1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F20" i="1"/>
  <c r="E32" i="1" s="1"/>
  <c r="N87" i="11"/>
  <c r="O87" i="11" s="1"/>
  <c r="D100" i="13"/>
  <c r="B100" i="13" s="1"/>
  <c r="M87" i="10"/>
  <c r="O87" i="10" s="1"/>
  <c r="N87" i="25"/>
  <c r="O87" i="25" s="1"/>
  <c r="L86" i="25"/>
  <c r="F20" i="2"/>
  <c r="E32" i="2" s="1"/>
  <c r="M87" i="9"/>
  <c r="O87" i="9" s="1"/>
  <c r="L86" i="10"/>
  <c r="N87" i="37"/>
  <c r="N87" i="4"/>
  <c r="M87" i="28"/>
  <c r="O87" i="28" s="1"/>
  <c r="L86" i="28"/>
  <c r="N87" i="23"/>
  <c r="N87" i="42"/>
  <c r="N87" i="3"/>
  <c r="O87" i="3" s="1"/>
  <c r="M87" i="23"/>
  <c r="M87" i="40"/>
  <c r="M87" i="5"/>
  <c r="N87" i="13"/>
  <c r="M87" i="31"/>
  <c r="N87" i="22"/>
  <c r="O87" i="22" s="1"/>
  <c r="L86" i="3"/>
  <c r="N87" i="31"/>
  <c r="M87" i="42"/>
  <c r="L86" i="39"/>
  <c r="M87" i="8"/>
  <c r="N87" i="8"/>
  <c r="M87" i="29"/>
  <c r="N87" i="29"/>
  <c r="L86" i="22"/>
  <c r="M87" i="13"/>
  <c r="L86" i="44"/>
  <c r="M87" i="7"/>
  <c r="N87" i="5"/>
  <c r="N87" i="27"/>
  <c r="M87" i="27"/>
  <c r="N87" i="24"/>
  <c r="N87" i="30"/>
  <c r="N87" i="40"/>
  <c r="M87" i="44"/>
  <c r="O87" i="44" s="1"/>
  <c r="N87" i="7"/>
  <c r="M87" i="43"/>
  <c r="O87" i="43" s="1"/>
  <c r="M87" i="24"/>
  <c r="L86" i="43"/>
  <c r="M87" i="30"/>
  <c r="M87" i="39"/>
  <c r="O87" i="39" s="1"/>
  <c r="L86" i="9"/>
  <c r="N87" i="38"/>
  <c r="M87" i="38"/>
  <c r="M87" i="6"/>
  <c r="N87" i="6"/>
  <c r="L86" i="11"/>
  <c r="M87" i="37"/>
  <c r="M87" i="4"/>
  <c r="B19" i="44"/>
  <c r="D18" i="13"/>
  <c r="G17" i="13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M87" i="46"/>
  <c r="N87" i="46"/>
  <c r="L86" i="46"/>
  <c r="O87" i="4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N87" i="45"/>
  <c r="I13" i="46"/>
  <c r="N6" i="46" s="1"/>
  <c r="N5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J95" i="13"/>
  <c r="I99" i="13" s="1"/>
  <c r="H99" i="13"/>
  <c r="D24" i="17"/>
  <c r="D34" i="17"/>
  <c r="D39" i="17"/>
  <c r="D22" i="17"/>
  <c r="D35" i="17"/>
  <c r="C41" i="17"/>
  <c r="C43" i="17"/>
  <c r="D25" i="17"/>
  <c r="C21" i="17"/>
  <c r="D31" i="17"/>
  <c r="D33" i="17"/>
  <c r="D41" i="17"/>
  <c r="C22" i="17"/>
  <c r="D18" i="17"/>
  <c r="C24" i="17"/>
  <c r="D23" i="17"/>
  <c r="C34" i="17"/>
  <c r="C31" i="17"/>
  <c r="C40" i="17"/>
  <c r="C25" i="17"/>
  <c r="C42" i="17"/>
  <c r="D28" i="17"/>
  <c r="D42" i="17"/>
  <c r="D30" i="17"/>
  <c r="D38" i="17"/>
  <c r="D27" i="17"/>
  <c r="D21" i="17"/>
  <c r="O87" i="5" l="1"/>
  <c r="O87" i="13"/>
  <c r="O87" i="7"/>
  <c r="I17" i="13"/>
  <c r="E25" i="1"/>
  <c r="E26" i="1" s="1"/>
  <c r="E30" i="1" s="1"/>
  <c r="E33" i="1" s="1"/>
  <c r="E25" i="2"/>
  <c r="E26" i="2" s="1"/>
  <c r="E30" i="2" s="1"/>
  <c r="E33" i="2" s="1"/>
  <c r="E37" i="2" s="1"/>
  <c r="F54" i="2" s="1"/>
  <c r="E100" i="13"/>
  <c r="F100" i="13" s="1"/>
  <c r="D101" i="13" s="1"/>
  <c r="E101" i="13" s="1"/>
  <c r="O87" i="23"/>
  <c r="O87" i="4"/>
  <c r="O87" i="37"/>
  <c r="O87" i="42"/>
  <c r="O87" i="24"/>
  <c r="O87" i="40"/>
  <c r="O87" i="8"/>
  <c r="O87" i="31"/>
  <c r="O87" i="30"/>
  <c r="O87" i="29"/>
  <c r="B100" i="44"/>
  <c r="O87" i="27"/>
  <c r="O87" i="6"/>
  <c r="O87" i="38"/>
  <c r="J99" i="44"/>
  <c r="B19" i="45"/>
  <c r="B18" i="13"/>
  <c r="E18" i="13"/>
  <c r="F18" i="13" s="1"/>
  <c r="D19" i="13" s="1"/>
  <c r="B23" i="27"/>
  <c r="D99" i="7"/>
  <c r="O87" i="46"/>
  <c r="O87" i="45"/>
  <c r="B20" i="37"/>
  <c r="I17" i="46"/>
  <c r="I19" i="37"/>
  <c r="N6" i="37"/>
  <c r="N5" i="37"/>
  <c r="N5" i="10"/>
  <c r="B31" i="10"/>
  <c r="I30" i="10"/>
  <c r="N6" i="10"/>
  <c r="I18" i="44"/>
  <c r="J99" i="13"/>
  <c r="F53" i="1" l="1"/>
  <c r="F101" i="13"/>
  <c r="G101" i="13" s="1"/>
  <c r="I101" i="13" s="1"/>
  <c r="G100" i="13"/>
  <c r="H100" i="13" s="1"/>
  <c r="B101" i="13"/>
  <c r="F53" i="2"/>
  <c r="F55" i="2" s="1"/>
  <c r="F62" i="2" s="1"/>
  <c r="F65" i="2" s="1"/>
  <c r="F67" i="2" s="1"/>
  <c r="F69" i="2" s="1"/>
  <c r="F70" i="2" s="1"/>
  <c r="F71" i="2" s="1"/>
  <c r="F56" i="2" s="1"/>
  <c r="F57" i="2" s="1"/>
  <c r="E37" i="1"/>
  <c r="F54" i="1" s="1"/>
  <c r="I18" i="45"/>
  <c r="G18" i="13"/>
  <c r="H18" i="13"/>
  <c r="I18" i="46"/>
  <c r="E19" i="13"/>
  <c r="F19" i="13" s="1"/>
  <c r="B19" i="13"/>
  <c r="B100" i="45"/>
  <c r="N5" i="27"/>
  <c r="N6" i="44"/>
  <c r="N7" i="10"/>
  <c r="B30" i="9"/>
  <c r="N5" i="9"/>
  <c r="B19" i="46"/>
  <c r="I29" i="9"/>
  <c r="N6" i="9"/>
  <c r="I17" i="45"/>
  <c r="N7" i="37"/>
  <c r="I17" i="44"/>
  <c r="I20" i="37"/>
  <c r="F36" i="17"/>
  <c r="F25" i="17"/>
  <c r="F55" i="1" l="1"/>
  <c r="F76" i="1" s="1"/>
  <c r="F77" i="1" s="1"/>
  <c r="I100" i="13"/>
  <c r="J100" i="13" s="1"/>
  <c r="D102" i="13"/>
  <c r="B102" i="13" s="1"/>
  <c r="H101" i="13"/>
  <c r="J101" i="13" s="1"/>
  <c r="I18" i="13"/>
  <c r="I19" i="44"/>
  <c r="N5" i="44"/>
  <c r="N7" i="44" s="1"/>
  <c r="B20" i="44"/>
  <c r="I19" i="45"/>
  <c r="G19" i="13"/>
  <c r="D20" i="13"/>
  <c r="H19" i="13"/>
  <c r="J99" i="45"/>
  <c r="I23" i="27"/>
  <c r="N6" i="27"/>
  <c r="N7" i="27" s="1"/>
  <c r="B24" i="27"/>
  <c r="G25" i="17"/>
  <c r="G36" i="17"/>
  <c r="N5" i="41"/>
  <c r="N5" i="7"/>
  <c r="B28" i="5"/>
  <c r="I19" i="38"/>
  <c r="N6" i="38"/>
  <c r="B23" i="31"/>
  <c r="I26" i="25"/>
  <c r="N6" i="25"/>
  <c r="I24" i="24"/>
  <c r="N6" i="24"/>
  <c r="B19" i="41"/>
  <c r="N5" i="43"/>
  <c r="N6" i="6"/>
  <c r="I28" i="6"/>
  <c r="N6" i="8"/>
  <c r="I28" i="8"/>
  <c r="I29" i="11"/>
  <c r="N6" i="11"/>
  <c r="I27" i="5"/>
  <c r="N6" i="5"/>
  <c r="I19" i="39"/>
  <c r="N6" i="39"/>
  <c r="I22" i="29"/>
  <c r="N6" i="29"/>
  <c r="I27" i="3"/>
  <c r="N6" i="3"/>
  <c r="N5" i="40"/>
  <c r="I18" i="42"/>
  <c r="N6" i="42"/>
  <c r="B23" i="28"/>
  <c r="B22" i="30"/>
  <c r="N5" i="23"/>
  <c r="N5" i="28"/>
  <c r="I26" i="22"/>
  <c r="N6" i="22"/>
  <c r="N5" i="30"/>
  <c r="N5" i="25"/>
  <c r="B25" i="24"/>
  <c r="I25" i="23"/>
  <c r="N6" i="23"/>
  <c r="N6" i="41"/>
  <c r="I18" i="41"/>
  <c r="N5" i="4"/>
  <c r="N5" i="45"/>
  <c r="N6" i="43"/>
  <c r="I17" i="43"/>
  <c r="I30" i="7"/>
  <c r="N6" i="7"/>
  <c r="N5" i="8"/>
  <c r="N5" i="11"/>
  <c r="B20" i="39"/>
  <c r="N5" i="29"/>
  <c r="N5" i="3"/>
  <c r="B19" i="40"/>
  <c r="B19" i="42"/>
  <c r="B32" i="10"/>
  <c r="N5" i="38"/>
  <c r="N5" i="22"/>
  <c r="N5" i="31"/>
  <c r="B28" i="4"/>
  <c r="B18" i="43"/>
  <c r="B29" i="6"/>
  <c r="B27" i="25"/>
  <c r="N5" i="24"/>
  <c r="B26" i="23"/>
  <c r="I27" i="4"/>
  <c r="N6" i="4"/>
  <c r="N6" i="45"/>
  <c r="B21" i="37"/>
  <c r="B31" i="7"/>
  <c r="N5" i="6"/>
  <c r="B29" i="8"/>
  <c r="B30" i="11"/>
  <c r="N7" i="9"/>
  <c r="N5" i="5"/>
  <c r="N5" i="39"/>
  <c r="B23" i="29"/>
  <c r="B28" i="3"/>
  <c r="I18" i="40"/>
  <c r="N6" i="40"/>
  <c r="N5" i="42"/>
  <c r="I31" i="10"/>
  <c r="I22" i="28"/>
  <c r="N6" i="28"/>
  <c r="B20" i="38"/>
  <c r="B27" i="22"/>
  <c r="I22" i="31"/>
  <c r="N6" i="31"/>
  <c r="N6" i="30"/>
  <c r="I21" i="30"/>
  <c r="F59" i="2"/>
  <c r="F79" i="2" s="1"/>
  <c r="F80" i="2" s="1"/>
  <c r="F82" i="2" s="1"/>
  <c r="F76" i="2"/>
  <c r="F77" i="2" s="1"/>
  <c r="F43" i="17"/>
  <c r="F31" i="17"/>
  <c r="F24" i="17"/>
  <c r="F62" i="1" l="1"/>
  <c r="F65" i="1" s="1"/>
  <c r="F67" i="1" s="1"/>
  <c r="F69" i="1" s="1"/>
  <c r="F70" i="1" s="1"/>
  <c r="F71" i="1" s="1"/>
  <c r="F56" i="1" s="1"/>
  <c r="F57" i="1" s="1"/>
  <c r="F59" i="1" s="1"/>
  <c r="F79" i="1" s="1"/>
  <c r="F80" i="1" s="1"/>
  <c r="F82" i="1" s="1"/>
  <c r="E102" i="13"/>
  <c r="F102" i="13" s="1"/>
  <c r="G102" i="13" s="1"/>
  <c r="B20" i="45"/>
  <c r="N7" i="45"/>
  <c r="G43" i="17"/>
  <c r="N7" i="41"/>
  <c r="I19" i="13"/>
  <c r="E20" i="13"/>
  <c r="F20" i="13" s="1"/>
  <c r="B20" i="13"/>
  <c r="G31" i="17"/>
  <c r="I18" i="43"/>
  <c r="I20" i="38"/>
  <c r="I20" i="39"/>
  <c r="N7" i="23"/>
  <c r="N7" i="4"/>
  <c r="N7" i="31"/>
  <c r="N7" i="40"/>
  <c r="N7" i="30"/>
  <c r="N7" i="7"/>
  <c r="N7" i="29"/>
  <c r="N7" i="25"/>
  <c r="G24" i="17"/>
  <c r="I19" i="46"/>
  <c r="N7" i="46"/>
  <c r="N7" i="3"/>
  <c r="N7" i="24"/>
  <c r="N7" i="38"/>
  <c r="N7" i="22"/>
  <c r="N7" i="5"/>
  <c r="N7" i="11"/>
  <c r="N7" i="8"/>
  <c r="N7" i="6"/>
  <c r="B31" i="9"/>
  <c r="N7" i="42"/>
  <c r="N7" i="28"/>
  <c r="I30" i="9"/>
  <c r="N7" i="43"/>
  <c r="B20" i="46"/>
  <c r="N7" i="39"/>
  <c r="F37" i="17"/>
  <c r="F39" i="17"/>
  <c r="F19" i="17"/>
  <c r="F44" i="17"/>
  <c r="F22" i="17"/>
  <c r="F42" i="17"/>
  <c r="F21" i="17"/>
  <c r="F20" i="17"/>
  <c r="F38" i="17"/>
  <c r="F29" i="17"/>
  <c r="F30" i="17"/>
  <c r="F33" i="17"/>
  <c r="F23" i="17"/>
  <c r="F32" i="17"/>
  <c r="F28" i="17"/>
  <c r="F26" i="17"/>
  <c r="F41" i="17"/>
  <c r="F34" i="17"/>
  <c r="F27" i="17"/>
  <c r="F35" i="17"/>
  <c r="F40" i="17"/>
  <c r="F45" i="17"/>
  <c r="F18" i="17"/>
  <c r="D103" i="13" l="1"/>
  <c r="E103" i="13" s="1"/>
  <c r="F103" i="13" s="1"/>
  <c r="I20" i="45"/>
  <c r="G45" i="17"/>
  <c r="F50" i="17"/>
  <c r="G44" i="17"/>
  <c r="G42" i="17"/>
  <c r="G40" i="17"/>
  <c r="I20" i="44"/>
  <c r="B21" i="44"/>
  <c r="I20" i="46"/>
  <c r="D21" i="13"/>
  <c r="H20" i="13"/>
  <c r="G20" i="13"/>
  <c r="B25" i="27"/>
  <c r="I24" i="27"/>
  <c r="G28" i="17"/>
  <c r="G34" i="17"/>
  <c r="G39" i="17"/>
  <c r="G35" i="17"/>
  <c r="G22" i="17"/>
  <c r="G19" i="17"/>
  <c r="G30" i="17"/>
  <c r="G33" i="17"/>
  <c r="G41" i="17"/>
  <c r="G23" i="17"/>
  <c r="G29" i="17"/>
  <c r="G21" i="17"/>
  <c r="G38" i="17"/>
  <c r="G26" i="17"/>
  <c r="G27" i="17"/>
  <c r="G18" i="17"/>
  <c r="G32" i="17"/>
  <c r="G20" i="17"/>
  <c r="G37" i="17"/>
  <c r="B20" i="41"/>
  <c r="B24" i="29"/>
  <c r="I31" i="7"/>
  <c r="I29" i="8"/>
  <c r="B29" i="5"/>
  <c r="B33" i="10"/>
  <c r="B26" i="24"/>
  <c r="I27" i="25"/>
  <c r="I26" i="23"/>
  <c r="I30" i="11"/>
  <c r="B30" i="6"/>
  <c r="I23" i="28"/>
  <c r="I22" i="30"/>
  <c r="I28" i="4"/>
  <c r="B30" i="8"/>
  <c r="B28" i="22"/>
  <c r="I19" i="41"/>
  <c r="B19" i="43"/>
  <c r="I23" i="31"/>
  <c r="I28" i="3"/>
  <c r="I19" i="42"/>
  <c r="I25" i="24"/>
  <c r="B24" i="31"/>
  <c r="B21" i="39"/>
  <c r="B27" i="23"/>
  <c r="B23" i="30"/>
  <c r="B20" i="42"/>
  <c r="B29" i="4"/>
  <c r="B32" i="7"/>
  <c r="B22" i="37"/>
  <c r="I28" i="5"/>
  <c r="I32" i="10"/>
  <c r="B28" i="25"/>
  <c r="B31" i="11"/>
  <c r="B20" i="40"/>
  <c r="I29" i="6"/>
  <c r="I23" i="29"/>
  <c r="B24" i="28"/>
  <c r="B29" i="3"/>
  <c r="B21" i="38"/>
  <c r="I27" i="22"/>
  <c r="I19" i="40"/>
  <c r="I21" i="37"/>
  <c r="I102" i="13"/>
  <c r="H102" i="13"/>
  <c r="B103" i="13" l="1"/>
  <c r="B21" i="45"/>
  <c r="G50" i="17"/>
  <c r="D22" i="44"/>
  <c r="I20" i="13"/>
  <c r="E21" i="13"/>
  <c r="F21" i="13" s="1"/>
  <c r="G21" i="13" s="1"/>
  <c r="B21" i="13"/>
  <c r="I20" i="42"/>
  <c r="I20" i="40"/>
  <c r="I20" i="41"/>
  <c r="B32" i="9"/>
  <c r="D22" i="45"/>
  <c r="I22" i="37"/>
  <c r="I31" i="9"/>
  <c r="G103" i="13"/>
  <c r="D104" i="13"/>
  <c r="E104" i="13" s="1"/>
  <c r="J102" i="13"/>
  <c r="B22" i="44" l="1"/>
  <c r="I21" i="44"/>
  <c r="H21" i="13"/>
  <c r="D22" i="13"/>
  <c r="I25" i="27"/>
  <c r="B26" i="27"/>
  <c r="B31" i="6"/>
  <c r="B25" i="31"/>
  <c r="B25" i="28"/>
  <c r="I21" i="45"/>
  <c r="I30" i="6"/>
  <c r="I28" i="22"/>
  <c r="I24" i="31"/>
  <c r="I29" i="4"/>
  <c r="B30" i="3"/>
  <c r="I30" i="8"/>
  <c r="B22" i="39"/>
  <c r="B23" i="37"/>
  <c r="B30" i="4"/>
  <c r="I28" i="25"/>
  <c r="B21" i="40"/>
  <c r="B22" i="45"/>
  <c r="B24" i="30"/>
  <c r="B21" i="41"/>
  <c r="B34" i="10"/>
  <c r="B27" i="24"/>
  <c r="I21" i="39"/>
  <c r="B28" i="23"/>
  <c r="B21" i="42"/>
  <c r="I24" i="29"/>
  <c r="I31" i="11"/>
  <c r="B22" i="38"/>
  <c r="B29" i="22"/>
  <c r="B33" i="7"/>
  <c r="I21" i="38"/>
  <c r="I27" i="23"/>
  <c r="B25" i="29"/>
  <c r="I19" i="43"/>
  <c r="B32" i="11"/>
  <c r="I29" i="5"/>
  <c r="B30" i="5"/>
  <c r="I32" i="7"/>
  <c r="B29" i="25"/>
  <c r="I23" i="30"/>
  <c r="I33" i="10"/>
  <c r="I26" i="24"/>
  <c r="B20" i="43"/>
  <c r="I24" i="28"/>
  <c r="I29" i="3"/>
  <c r="B31" i="8"/>
  <c r="I103" i="13"/>
  <c r="H103" i="13"/>
  <c r="F104" i="13"/>
  <c r="B104" i="13"/>
  <c r="I21" i="13" l="1"/>
  <c r="B22" i="13"/>
  <c r="E22" i="13"/>
  <c r="F22" i="13" s="1"/>
  <c r="I22" i="39"/>
  <c r="I21" i="41"/>
  <c r="I22" i="38"/>
  <c r="I20" i="43"/>
  <c r="I21" i="42"/>
  <c r="I21" i="40"/>
  <c r="B33" i="9"/>
  <c r="I32" i="9"/>
  <c r="D24" i="37"/>
  <c r="D35" i="10"/>
  <c r="I23" i="37"/>
  <c r="J103" i="13"/>
  <c r="G104" i="13"/>
  <c r="D105" i="13"/>
  <c r="E105" i="13" s="1"/>
  <c r="G22" i="13" l="1"/>
  <c r="H22" i="13"/>
  <c r="D23" i="13"/>
  <c r="B23" i="13" s="1"/>
  <c r="I26" i="27"/>
  <c r="B27" i="27"/>
  <c r="B28" i="24"/>
  <c r="I32" i="11"/>
  <c r="B26" i="29"/>
  <c r="B22" i="42"/>
  <c r="B30" i="25"/>
  <c r="B32" i="8"/>
  <c r="B22" i="40"/>
  <c r="B35" i="10"/>
  <c r="B21" i="43"/>
  <c r="B32" i="6"/>
  <c r="B24" i="37"/>
  <c r="B26" i="28"/>
  <c r="D34" i="9"/>
  <c r="B25" i="30"/>
  <c r="I28" i="23"/>
  <c r="B23" i="38"/>
  <c r="B31" i="5"/>
  <c r="I34" i="10"/>
  <c r="I30" i="4"/>
  <c r="B33" i="11"/>
  <c r="I31" i="6"/>
  <c r="B26" i="31"/>
  <c r="B23" i="39"/>
  <c r="I29" i="22"/>
  <c r="I31" i="8"/>
  <c r="I33" i="7"/>
  <c r="B31" i="3"/>
  <c r="I25" i="31"/>
  <c r="B30" i="22"/>
  <c r="I24" i="30"/>
  <c r="B29" i="23"/>
  <c r="I29" i="25"/>
  <c r="I27" i="24"/>
  <c r="I30" i="5"/>
  <c r="B22" i="41"/>
  <c r="B34" i="7"/>
  <c r="I30" i="3"/>
  <c r="B31" i="4"/>
  <c r="I25" i="28"/>
  <c r="I25" i="29"/>
  <c r="H104" i="13"/>
  <c r="I104" i="13"/>
  <c r="B105" i="13"/>
  <c r="F105" i="13"/>
  <c r="E23" i="13" l="1"/>
  <c r="F23" i="13" s="1"/>
  <c r="H23" i="13" s="1"/>
  <c r="N6" i="13" s="1"/>
  <c r="I21" i="43"/>
  <c r="I23" i="38"/>
  <c r="I22" i="13"/>
  <c r="D24" i="39"/>
  <c r="D35" i="7"/>
  <c r="D30" i="23"/>
  <c r="D32" i="3"/>
  <c r="D27" i="31"/>
  <c r="D24" i="38"/>
  <c r="D33" i="6"/>
  <c r="I22" i="40"/>
  <c r="D33" i="8"/>
  <c r="D23" i="42"/>
  <c r="D27" i="29"/>
  <c r="D29" i="24"/>
  <c r="D23" i="41"/>
  <c r="B34" i="9"/>
  <c r="D32" i="4"/>
  <c r="D31" i="22"/>
  <c r="D34" i="11"/>
  <c r="D32" i="5"/>
  <c r="D26" i="30"/>
  <c r="D27" i="28"/>
  <c r="I33" i="9"/>
  <c r="D23" i="40"/>
  <c r="D31" i="25"/>
  <c r="J104" i="13"/>
  <c r="G105" i="13"/>
  <c r="D106" i="13"/>
  <c r="E106" i="13" s="1"/>
  <c r="G23" i="13" l="1"/>
  <c r="D24" i="13"/>
  <c r="I27" i="27"/>
  <c r="I23" i="39"/>
  <c r="B27" i="28"/>
  <c r="B23" i="41"/>
  <c r="I32" i="6"/>
  <c r="B35" i="7"/>
  <c r="B34" i="11"/>
  <c r="B31" i="22"/>
  <c r="B33" i="8"/>
  <c r="B22" i="43"/>
  <c r="I26" i="31"/>
  <c r="B31" i="25"/>
  <c r="B32" i="5"/>
  <c r="I30" i="25"/>
  <c r="B32" i="4"/>
  <c r="I28" i="24"/>
  <c r="B27" i="29"/>
  <c r="B23" i="42"/>
  <c r="I32" i="8"/>
  <c r="B32" i="3"/>
  <c r="B30" i="23"/>
  <c r="I34" i="7"/>
  <c r="B24" i="39"/>
  <c r="B26" i="30"/>
  <c r="B29" i="24"/>
  <c r="B23" i="40"/>
  <c r="I26" i="28"/>
  <c r="I25" i="30"/>
  <c r="I31" i="5"/>
  <c r="I33" i="11"/>
  <c r="I30" i="22"/>
  <c r="I22" i="41"/>
  <c r="I31" i="4"/>
  <c r="I26" i="29"/>
  <c r="B33" i="6"/>
  <c r="B24" i="38"/>
  <c r="B27" i="31"/>
  <c r="I31" i="3"/>
  <c r="I29" i="23"/>
  <c r="I105" i="13"/>
  <c r="H105" i="13"/>
  <c r="B106" i="13"/>
  <c r="F106" i="13"/>
  <c r="I23" i="13" l="1"/>
  <c r="N5" i="13"/>
  <c r="N7" i="13" s="1"/>
  <c r="B24" i="13"/>
  <c r="E24" i="13"/>
  <c r="F24" i="13" s="1"/>
  <c r="H24" i="13" s="1"/>
  <c r="D23" i="43"/>
  <c r="I22" i="43"/>
  <c r="D107" i="13"/>
  <c r="E107" i="13" s="1"/>
  <c r="G106" i="13"/>
  <c r="J105" i="13"/>
  <c r="D25" i="13" l="1"/>
  <c r="G24" i="13"/>
  <c r="I24" i="13" s="1"/>
  <c r="B23" i="43"/>
  <c r="H106" i="13"/>
  <c r="I106" i="13"/>
  <c r="F107" i="13"/>
  <c r="B107" i="13"/>
  <c r="B25" i="13" l="1"/>
  <c r="E25" i="13"/>
  <c r="F25" i="13" s="1"/>
  <c r="J106" i="13"/>
  <c r="G107" i="13"/>
  <c r="D108" i="13"/>
  <c r="E108" i="13" s="1"/>
  <c r="D26" i="13" l="1"/>
  <c r="H25" i="13"/>
  <c r="G25" i="13"/>
  <c r="H107" i="13"/>
  <c r="M88" i="13" s="1"/>
  <c r="M89" i="13" s="1"/>
  <c r="I107" i="13"/>
  <c r="N88" i="13" s="1"/>
  <c r="B108" i="13"/>
  <c r="F108" i="13"/>
  <c r="O88" i="13" l="1"/>
  <c r="O89" i="13" s="1"/>
  <c r="N89" i="13"/>
  <c r="I25" i="13"/>
  <c r="E26" i="13"/>
  <c r="F26" i="13" s="1"/>
  <c r="B26" i="13"/>
  <c r="J107" i="13"/>
  <c r="G108" i="13"/>
  <c r="D109" i="13"/>
  <c r="E109" i="13" s="1"/>
  <c r="G26" i="13" l="1"/>
  <c r="D27" i="13"/>
  <c r="H26" i="13"/>
  <c r="I108" i="13"/>
  <c r="H108" i="13"/>
  <c r="F109" i="13"/>
  <c r="B109" i="13"/>
  <c r="I26" i="13" l="1"/>
  <c r="E27" i="13"/>
  <c r="F27" i="13" s="1"/>
  <c r="B27" i="13"/>
  <c r="G109" i="13"/>
  <c r="D110" i="13"/>
  <c r="E110" i="13" s="1"/>
  <c r="J108" i="13"/>
  <c r="D28" i="13" l="1"/>
  <c r="H27" i="13"/>
  <c r="G27" i="13"/>
  <c r="F110" i="13"/>
  <c r="B110" i="13"/>
  <c r="H109" i="13"/>
  <c r="I109" i="13"/>
  <c r="I27" i="13" l="1"/>
  <c r="B28" i="13"/>
  <c r="E28" i="13"/>
  <c r="F28" i="13" s="1"/>
  <c r="J109" i="13"/>
  <c r="G110" i="13"/>
  <c r="D111" i="13"/>
  <c r="E111" i="13" s="1"/>
  <c r="H28" i="13" l="1"/>
  <c r="D29" i="13"/>
  <c r="G28" i="13"/>
  <c r="H110" i="13"/>
  <c r="I110" i="13"/>
  <c r="B111" i="13"/>
  <c r="F111" i="13"/>
  <c r="I28" i="13" l="1"/>
  <c r="E29" i="13"/>
  <c r="F29" i="13" s="1"/>
  <c r="B29" i="13"/>
  <c r="J110" i="13"/>
  <c r="G111" i="13"/>
  <c r="D112" i="13"/>
  <c r="E112" i="13" s="1"/>
  <c r="D30" i="13" l="1"/>
  <c r="G29" i="13"/>
  <c r="H29" i="13"/>
  <c r="B112" i="13"/>
  <c r="F112" i="13"/>
  <c r="I111" i="13"/>
  <c r="H111" i="13"/>
  <c r="I29" i="13" l="1"/>
  <c r="E30" i="13"/>
  <c r="F30" i="13" s="1"/>
  <c r="B30" i="13"/>
  <c r="J111" i="13"/>
  <c r="G112" i="13"/>
  <c r="D113" i="13"/>
  <c r="E113" i="13" s="1"/>
  <c r="H30" i="13" l="1"/>
  <c r="D31" i="13"/>
  <c r="G30" i="13"/>
  <c r="I112" i="13"/>
  <c r="H112" i="13"/>
  <c r="B113" i="13"/>
  <c r="F113" i="13"/>
  <c r="I30" i="13" l="1"/>
  <c r="E31" i="13"/>
  <c r="F31" i="13" s="1"/>
  <c r="B31" i="13"/>
  <c r="J112" i="13"/>
  <c r="G113" i="13"/>
  <c r="D114" i="13"/>
  <c r="H31" i="13" l="1"/>
  <c r="G31" i="13"/>
  <c r="D32" i="13"/>
  <c r="B114" i="13"/>
  <c r="H113" i="13"/>
  <c r="I113" i="13"/>
  <c r="E114" i="13"/>
  <c r="F114" i="13" s="1"/>
  <c r="I31" i="13" l="1"/>
  <c r="E32" i="13"/>
  <c r="F32" i="13" s="1"/>
  <c r="B32" i="13"/>
  <c r="J113" i="13"/>
  <c r="G114" i="13"/>
  <c r="D115" i="13"/>
  <c r="E115" i="13" s="1"/>
  <c r="H32" i="13" l="1"/>
  <c r="D33" i="13"/>
  <c r="G32" i="13"/>
  <c r="B115" i="13"/>
  <c r="F115" i="13"/>
  <c r="H114" i="13"/>
  <c r="I114" i="13"/>
  <c r="I32" i="13" l="1"/>
  <c r="E33" i="13"/>
  <c r="F33" i="13" s="1"/>
  <c r="B33" i="13"/>
  <c r="D116" i="13"/>
  <c r="G115" i="13"/>
  <c r="J114" i="13"/>
  <c r="G33" i="13" l="1"/>
  <c r="H33" i="13"/>
  <c r="D34" i="13"/>
  <c r="H115" i="13"/>
  <c r="I115" i="13"/>
  <c r="B116" i="13"/>
  <c r="E116" i="13"/>
  <c r="F116" i="13" s="1"/>
  <c r="I33" i="13" l="1"/>
  <c r="E34" i="13"/>
  <c r="F34" i="13" s="1"/>
  <c r="B34" i="13"/>
  <c r="J115" i="13"/>
  <c r="G116" i="13"/>
  <c r="D117" i="13"/>
  <c r="E117" i="13" s="1"/>
  <c r="G34" i="13" l="1"/>
  <c r="H34" i="13"/>
  <c r="D35" i="13"/>
  <c r="I116" i="13"/>
  <c r="H116" i="13"/>
  <c r="B117" i="13"/>
  <c r="F117" i="13"/>
  <c r="I34" i="13" l="1"/>
  <c r="B35" i="13"/>
  <c r="E35" i="13"/>
  <c r="F35" i="13" s="1"/>
  <c r="H35" i="13" s="1"/>
  <c r="G117" i="13"/>
  <c r="D118" i="13"/>
  <c r="E118" i="13" s="1"/>
  <c r="J116" i="13"/>
  <c r="D36" i="13" l="1"/>
  <c r="G35" i="13"/>
  <c r="I35" i="13" s="1"/>
  <c r="F118" i="13"/>
  <c r="B118" i="13"/>
  <c r="H117" i="13"/>
  <c r="I117" i="13"/>
  <c r="E36" i="13" l="1"/>
  <c r="F36" i="13" s="1"/>
  <c r="B36" i="13"/>
  <c r="J117" i="13"/>
  <c r="G118" i="13"/>
  <c r="D119" i="13"/>
  <c r="G36" i="13" l="1"/>
  <c r="H36" i="13"/>
  <c r="D37" i="13"/>
  <c r="B119" i="13"/>
  <c r="E119" i="13"/>
  <c r="F119" i="13" s="1"/>
  <c r="H118" i="13"/>
  <c r="I118" i="13"/>
  <c r="I36" i="13" l="1"/>
  <c r="E37" i="13"/>
  <c r="F37" i="13" s="1"/>
  <c r="B37" i="13"/>
  <c r="J118" i="13"/>
  <c r="D120" i="13"/>
  <c r="G119" i="13"/>
  <c r="G37" i="13" l="1"/>
  <c r="D38" i="13"/>
  <c r="H37" i="13"/>
  <c r="H119" i="13"/>
  <c r="I119" i="13"/>
  <c r="B120" i="13"/>
  <c r="E120" i="13"/>
  <c r="F120" i="13" s="1"/>
  <c r="I37" i="13" l="1"/>
  <c r="E38" i="13"/>
  <c r="F38" i="13" s="1"/>
  <c r="B38" i="13"/>
  <c r="J119" i="13"/>
  <c r="G120" i="13"/>
  <c r="D121" i="13"/>
  <c r="G38" i="13" l="1"/>
  <c r="D39" i="13"/>
  <c r="H38" i="13"/>
  <c r="B121" i="13"/>
  <c r="I120" i="13"/>
  <c r="H120" i="13"/>
  <c r="E121" i="13"/>
  <c r="F121" i="13" s="1"/>
  <c r="I38" i="13" l="1"/>
  <c r="E39" i="13"/>
  <c r="F39" i="13" s="1"/>
  <c r="B39" i="13"/>
  <c r="J120" i="13"/>
  <c r="D122" i="13"/>
  <c r="E122" i="13" s="1"/>
  <c r="G121" i="13"/>
  <c r="D40" i="13" l="1"/>
  <c r="H39" i="13"/>
  <c r="G39" i="13"/>
  <c r="H121" i="13"/>
  <c r="I121" i="13"/>
  <c r="F122" i="13"/>
  <c r="B122" i="13"/>
  <c r="I39" i="13" l="1"/>
  <c r="E40" i="13"/>
  <c r="F40" i="13" s="1"/>
  <c r="B40" i="13"/>
  <c r="J121" i="13"/>
  <c r="D123" i="13"/>
  <c r="E123" i="13" s="1"/>
  <c r="G122" i="13"/>
  <c r="H40" i="13" l="1"/>
  <c r="G40" i="13"/>
  <c r="D41" i="13"/>
  <c r="I122" i="13"/>
  <c r="H122" i="13"/>
  <c r="F123" i="13"/>
  <c r="B123" i="13"/>
  <c r="I40" i="13" l="1"/>
  <c r="E41" i="13"/>
  <c r="F41" i="13" s="1"/>
  <c r="B41" i="13"/>
  <c r="G123" i="13"/>
  <c r="D124" i="13"/>
  <c r="J122" i="13"/>
  <c r="G41" i="13" l="1"/>
  <c r="H41" i="13"/>
  <c r="D42" i="13"/>
  <c r="H123" i="13"/>
  <c r="I123" i="13"/>
  <c r="B124" i="13"/>
  <c r="E124" i="13"/>
  <c r="F124" i="13" s="1"/>
  <c r="I41" i="13" l="1"/>
  <c r="B42" i="13"/>
  <c r="E42" i="13"/>
  <c r="F42" i="13" s="1"/>
  <c r="J123" i="13"/>
  <c r="G124" i="13"/>
  <c r="D125" i="13"/>
  <c r="E125" i="13" s="1"/>
  <c r="G42" i="13" l="1"/>
  <c r="D43" i="13"/>
  <c r="H42" i="13"/>
  <c r="B125" i="13"/>
  <c r="F125" i="13"/>
  <c r="I124" i="13"/>
  <c r="H124" i="13"/>
  <c r="I42" i="13" l="1"/>
  <c r="B43" i="13"/>
  <c r="E43" i="13"/>
  <c r="F43" i="13" s="1"/>
  <c r="D126" i="13"/>
  <c r="G125" i="13"/>
  <c r="J124" i="13"/>
  <c r="G43" i="13" l="1"/>
  <c r="H43" i="13"/>
  <c r="D44" i="13"/>
  <c r="I125" i="13"/>
  <c r="H125" i="13"/>
  <c r="B126" i="13"/>
  <c r="E126" i="13"/>
  <c r="F126" i="13" s="1"/>
  <c r="I43" i="13" l="1"/>
  <c r="B44" i="13"/>
  <c r="E44" i="13"/>
  <c r="F44" i="13" s="1"/>
  <c r="J125" i="13"/>
  <c r="D127" i="13"/>
  <c r="G126" i="13"/>
  <c r="G44" i="13" l="1"/>
  <c r="H44" i="13"/>
  <c r="D45" i="13"/>
  <c r="B127" i="13"/>
  <c r="H126" i="13"/>
  <c r="I126" i="13"/>
  <c r="E127" i="13"/>
  <c r="F127" i="13" s="1"/>
  <c r="I44" i="13" l="1"/>
  <c r="E45" i="13"/>
  <c r="F45" i="13" s="1"/>
  <c r="D46" i="13" s="1"/>
  <c r="E46" i="13" s="1"/>
  <c r="B45" i="13"/>
  <c r="J126" i="13"/>
  <c r="G127" i="13"/>
  <c r="D128" i="13"/>
  <c r="E128" i="13" s="1"/>
  <c r="B46" i="13" l="1"/>
  <c r="F46" i="13"/>
  <c r="G46" i="13" s="1"/>
  <c r="G45" i="13"/>
  <c r="H45" i="13"/>
  <c r="F128" i="13"/>
  <c r="B128" i="13"/>
  <c r="H127" i="13"/>
  <c r="I127" i="13"/>
  <c r="D47" i="13" l="1"/>
  <c r="E47" i="13" s="1"/>
  <c r="H46" i="13"/>
  <c r="I46" i="13" s="1"/>
  <c r="I45" i="13"/>
  <c r="J127" i="13"/>
  <c r="G128" i="13"/>
  <c r="D129" i="13"/>
  <c r="E129" i="13" s="1"/>
  <c r="F47" i="13" l="1"/>
  <c r="G47" i="13" s="1"/>
  <c r="B47" i="13"/>
  <c r="F129" i="13"/>
  <c r="B129" i="13"/>
  <c r="H128" i="13"/>
  <c r="I128" i="13"/>
  <c r="H47" i="13" l="1"/>
  <c r="I47" i="13" s="1"/>
  <c r="D48" i="13"/>
  <c r="E48" i="13" s="1"/>
  <c r="J128" i="13"/>
  <c r="G129" i="13"/>
  <c r="D130" i="13"/>
  <c r="E130" i="13" s="1"/>
  <c r="B48" i="13" l="1"/>
  <c r="F48" i="13"/>
  <c r="G48" i="13" s="1"/>
  <c r="B130" i="13"/>
  <c r="F130" i="13"/>
  <c r="H129" i="13"/>
  <c r="I129" i="13"/>
  <c r="H48" i="13" l="1"/>
  <c r="I48" i="13" s="1"/>
  <c r="D49" i="13"/>
  <c r="E49" i="13" s="1"/>
  <c r="J129" i="13"/>
  <c r="G130" i="13"/>
  <c r="D131" i="13"/>
  <c r="F49" i="13" l="1"/>
  <c r="G49" i="13" s="1"/>
  <c r="B49" i="13"/>
  <c r="H130" i="13"/>
  <c r="I130" i="13"/>
  <c r="B131" i="13"/>
  <c r="E131" i="13"/>
  <c r="F131" i="13" s="1"/>
  <c r="H49" i="13" l="1"/>
  <c r="I49" i="13" s="1"/>
  <c r="D50" i="13"/>
  <c r="B50" i="13" s="1"/>
  <c r="J130" i="13"/>
  <c r="J155" i="13" s="1"/>
  <c r="G131" i="13"/>
  <c r="D132" i="13"/>
  <c r="E50" i="13" l="1"/>
  <c r="F50" i="13" s="1"/>
  <c r="G50" i="13" s="1"/>
  <c r="B132" i="13"/>
  <c r="I131" i="13"/>
  <c r="H131" i="13"/>
  <c r="E132" i="13"/>
  <c r="F132" i="13" s="1"/>
  <c r="H50" i="13" l="1"/>
  <c r="I50" i="13" s="1"/>
  <c r="D51" i="13"/>
  <c r="E51" i="13" s="1"/>
  <c r="D133" i="13"/>
  <c r="E133" i="13" s="1"/>
  <c r="G132" i="13"/>
  <c r="F51" i="13" l="1"/>
  <c r="G51" i="13" s="1"/>
  <c r="B51" i="13"/>
  <c r="B133" i="13"/>
  <c r="F133" i="13"/>
  <c r="I132" i="13"/>
  <c r="H132" i="13"/>
  <c r="H51" i="13" l="1"/>
  <c r="I51" i="13" s="1"/>
  <c r="D52" i="13"/>
  <c r="B52" i="13" s="1"/>
  <c r="G133" i="13"/>
  <c r="D134" i="13"/>
  <c r="E52" i="13" l="1"/>
  <c r="F52" i="13" s="1"/>
  <c r="G52" i="13" s="1"/>
  <c r="D53" i="13"/>
  <c r="E53" i="13" s="1"/>
  <c r="H52" i="13"/>
  <c r="B134" i="13"/>
  <c r="E134" i="13"/>
  <c r="F134" i="13" s="1"/>
  <c r="H133" i="13"/>
  <c r="I133" i="13"/>
  <c r="I52" i="13" l="1"/>
  <c r="B53" i="13"/>
  <c r="F53" i="13"/>
  <c r="H53" i="13" s="1"/>
  <c r="D135" i="13"/>
  <c r="G134" i="13"/>
  <c r="D54" i="13" l="1"/>
  <c r="E54" i="13" s="1"/>
  <c r="G53" i="13"/>
  <c r="I53" i="13" s="1"/>
  <c r="B135" i="13"/>
  <c r="I134" i="13"/>
  <c r="H134" i="13"/>
  <c r="E135" i="13"/>
  <c r="F135" i="13" s="1"/>
  <c r="F54" i="13" l="1"/>
  <c r="H54" i="13" s="1"/>
  <c r="B54" i="13"/>
  <c r="G135" i="13"/>
  <c r="D136" i="13"/>
  <c r="D55" i="13" l="1"/>
  <c r="E55" i="13" s="1"/>
  <c r="G54" i="13"/>
  <c r="I54" i="13" s="1"/>
  <c r="B136" i="13"/>
  <c r="E136" i="13"/>
  <c r="F136" i="13" s="1"/>
  <c r="H135" i="13"/>
  <c r="I135" i="13"/>
  <c r="B55" i="13" l="1"/>
  <c r="F55" i="13"/>
  <c r="G55" i="13" s="1"/>
  <c r="G136" i="13"/>
  <c r="D137" i="13"/>
  <c r="H55" i="13" l="1"/>
  <c r="I55" i="13" s="1"/>
  <c r="D56" i="13"/>
  <c r="E56" i="13" s="1"/>
  <c r="B137" i="13"/>
  <c r="H136" i="13"/>
  <c r="I136" i="13"/>
  <c r="E137" i="13"/>
  <c r="F137" i="13" s="1"/>
  <c r="B56" i="13" l="1"/>
  <c r="F56" i="13"/>
  <c r="H56" i="13" s="1"/>
  <c r="G137" i="13"/>
  <c r="D138" i="13"/>
  <c r="G56" i="13" l="1"/>
  <c r="I56" i="13" s="1"/>
  <c r="D57" i="13"/>
  <c r="E57" i="13" s="1"/>
  <c r="B138" i="13"/>
  <c r="H137" i="13"/>
  <c r="I137" i="13"/>
  <c r="E138" i="13"/>
  <c r="F138" i="13" s="1"/>
  <c r="F57" i="13" l="1"/>
  <c r="H57" i="13" s="1"/>
  <c r="B57" i="13"/>
  <c r="G138" i="13"/>
  <c r="D139" i="13"/>
  <c r="E139" i="13" s="1"/>
  <c r="D58" i="13" l="1"/>
  <c r="G57" i="13"/>
  <c r="I57" i="13" s="1"/>
  <c r="I138" i="13"/>
  <c r="H138" i="13"/>
  <c r="B139" i="13"/>
  <c r="F139" i="13"/>
  <c r="B58" i="13" l="1"/>
  <c r="E58" i="13"/>
  <c r="F58" i="13" s="1"/>
  <c r="G139" i="13"/>
  <c r="D140" i="13"/>
  <c r="E140" i="13" s="1"/>
  <c r="D59" i="13" l="1"/>
  <c r="E59" i="13" s="1"/>
  <c r="G58" i="13"/>
  <c r="H58" i="13"/>
  <c r="H139" i="13"/>
  <c r="I139" i="13"/>
  <c r="F140" i="13"/>
  <c r="B140" i="13"/>
  <c r="I58" i="13" l="1"/>
  <c r="B59" i="13"/>
  <c r="F59" i="13"/>
  <c r="G59" i="13" s="1"/>
  <c r="D141" i="13"/>
  <c r="G140" i="13"/>
  <c r="H59" i="13" l="1"/>
  <c r="I59" i="13" s="1"/>
  <c r="D60" i="13"/>
  <c r="E60" i="13" s="1"/>
  <c r="B141" i="13"/>
  <c r="H140" i="13"/>
  <c r="I140" i="13"/>
  <c r="E141" i="13"/>
  <c r="F141" i="13" s="1"/>
  <c r="B60" i="13" l="1"/>
  <c r="F60" i="13"/>
  <c r="H60" i="13" s="1"/>
  <c r="G141" i="13"/>
  <c r="D142" i="13"/>
  <c r="E142" i="13" s="1"/>
  <c r="D61" i="13" l="1"/>
  <c r="E61" i="13" s="1"/>
  <c r="G60" i="13"/>
  <c r="I60" i="13" s="1"/>
  <c r="I141" i="13"/>
  <c r="H141" i="13"/>
  <c r="B142" i="13"/>
  <c r="F142" i="13"/>
  <c r="F61" i="13" l="1"/>
  <c r="H61" i="13" s="1"/>
  <c r="B61" i="13"/>
  <c r="D143" i="13"/>
  <c r="E143" i="13" s="1"/>
  <c r="G142" i="13"/>
  <c r="G61" i="13" l="1"/>
  <c r="I61" i="13" s="1"/>
  <c r="D62" i="13"/>
  <c r="E62" i="13" s="1"/>
  <c r="I142" i="13"/>
  <c r="H142" i="13"/>
  <c r="B143" i="13"/>
  <c r="F143" i="13"/>
  <c r="F62" i="13" l="1"/>
  <c r="G62" i="13" s="1"/>
  <c r="B62" i="13"/>
  <c r="D144" i="13"/>
  <c r="G143" i="13"/>
  <c r="D63" i="13" l="1"/>
  <c r="E63" i="13" s="1"/>
  <c r="H62" i="13"/>
  <c r="I62" i="13" s="1"/>
  <c r="H143" i="13"/>
  <c r="I143" i="13"/>
  <c r="B144" i="13"/>
  <c r="E144" i="13"/>
  <c r="F144" i="13" s="1"/>
  <c r="B63" i="13" l="1"/>
  <c r="F63" i="13"/>
  <c r="G63" i="13" s="1"/>
  <c r="G144" i="13"/>
  <c r="D145" i="13"/>
  <c r="E145" i="13" s="1"/>
  <c r="H63" i="13" l="1"/>
  <c r="I63" i="13" s="1"/>
  <c r="D64" i="13"/>
  <c r="E64" i="13" s="1"/>
  <c r="F145" i="13"/>
  <c r="B145" i="13"/>
  <c r="H144" i="13"/>
  <c r="I144" i="13"/>
  <c r="F64" i="13" l="1"/>
  <c r="H64" i="13" s="1"/>
  <c r="B64" i="13"/>
  <c r="G145" i="13"/>
  <c r="D146" i="13"/>
  <c r="E146" i="13" s="1"/>
  <c r="D65" i="13" l="1"/>
  <c r="E65" i="13" s="1"/>
  <c r="G64" i="13"/>
  <c r="I64" i="13" s="1"/>
  <c r="H145" i="13"/>
  <c r="I145" i="13"/>
  <c r="B146" i="13"/>
  <c r="F146" i="13"/>
  <c r="F65" i="13" l="1"/>
  <c r="G65" i="13" s="1"/>
  <c r="B65" i="13"/>
  <c r="G146" i="13"/>
  <c r="D147" i="13"/>
  <c r="E147" i="13" s="1"/>
  <c r="H65" i="13" l="1"/>
  <c r="I65" i="13" s="1"/>
  <c r="D66" i="13"/>
  <c r="F147" i="13"/>
  <c r="B147" i="13"/>
  <c r="H146" i="13"/>
  <c r="I146" i="13"/>
  <c r="B66" i="13" l="1"/>
  <c r="E66" i="13"/>
  <c r="F66" i="13" s="1"/>
  <c r="D148" i="13"/>
  <c r="G147" i="13"/>
  <c r="D67" i="13" l="1"/>
  <c r="H66" i="13"/>
  <c r="G66" i="13"/>
  <c r="I147" i="13"/>
  <c r="H147" i="13"/>
  <c r="B148" i="13"/>
  <c r="E148" i="13"/>
  <c r="F148" i="13" s="1"/>
  <c r="I66" i="13" l="1"/>
  <c r="B67" i="13"/>
  <c r="E67" i="13"/>
  <c r="F67" i="13" s="1"/>
  <c r="D149" i="13"/>
  <c r="G148" i="13"/>
  <c r="D68" i="13" l="1"/>
  <c r="E68" i="13" s="1"/>
  <c r="G67" i="13"/>
  <c r="H67" i="13"/>
  <c r="B149" i="13"/>
  <c r="E149" i="13"/>
  <c r="F149" i="13" s="1"/>
  <c r="I148" i="13"/>
  <c r="H148" i="13"/>
  <c r="I67" i="13" l="1"/>
  <c r="F68" i="13"/>
  <c r="H68" i="13" s="1"/>
  <c r="B68" i="13"/>
  <c r="D150" i="13"/>
  <c r="G149" i="13"/>
  <c r="G68" i="13" l="1"/>
  <c r="I68" i="13" s="1"/>
  <c r="D69" i="13"/>
  <c r="E69" i="13" s="1"/>
  <c r="B150" i="13"/>
  <c r="H149" i="13"/>
  <c r="I149" i="13"/>
  <c r="E150" i="13"/>
  <c r="F150" i="13" s="1"/>
  <c r="B69" i="13" l="1"/>
  <c r="F69" i="13"/>
  <c r="G69" i="13" s="1"/>
  <c r="G150" i="13"/>
  <c r="D151" i="13"/>
  <c r="H69" i="13" l="1"/>
  <c r="I69" i="13" s="1"/>
  <c r="D70" i="13"/>
  <c r="B151" i="13"/>
  <c r="H150" i="13"/>
  <c r="I150" i="13"/>
  <c r="E151" i="13"/>
  <c r="F151" i="13" s="1"/>
  <c r="B70" i="13" l="1"/>
  <c r="E70" i="13"/>
  <c r="F70" i="13" s="1"/>
  <c r="D152" i="13"/>
  <c r="G151" i="13"/>
  <c r="D71" i="13" l="1"/>
  <c r="G70" i="13"/>
  <c r="H70" i="13"/>
  <c r="B152" i="13"/>
  <c r="H151" i="13"/>
  <c r="I151" i="13"/>
  <c r="E152" i="13"/>
  <c r="F152" i="13" s="1"/>
  <c r="I70" i="13" l="1"/>
  <c r="B71" i="13"/>
  <c r="E71" i="13"/>
  <c r="F71" i="13" s="1"/>
  <c r="D153" i="13"/>
  <c r="E153" i="13" s="1"/>
  <c r="G152" i="13"/>
  <c r="D72" i="13" l="1"/>
  <c r="G71" i="13"/>
  <c r="H71" i="13"/>
  <c r="I152" i="13"/>
  <c r="H152" i="13"/>
  <c r="B153" i="13"/>
  <c r="F153" i="13"/>
  <c r="I71" i="13" l="1"/>
  <c r="B72" i="13"/>
  <c r="E72" i="13"/>
  <c r="E73" i="13" s="1"/>
  <c r="D154" i="13"/>
  <c r="E154" i="13" s="1"/>
  <c r="E155" i="13" s="1"/>
  <c r="G153" i="13"/>
  <c r="F72" i="13" l="1"/>
  <c r="I153" i="13"/>
  <c r="H153" i="13"/>
  <c r="F154" i="13"/>
  <c r="G154" i="13" s="1"/>
  <c r="B154" i="13"/>
  <c r="H72" i="13" l="1"/>
  <c r="G72" i="13"/>
  <c r="G73" i="13" s="1"/>
  <c r="H154" i="13"/>
  <c r="H155" i="13" s="1"/>
  <c r="I154" i="13"/>
  <c r="I155" i="13" s="1"/>
  <c r="I72" i="13" l="1"/>
  <c r="I73" i="13" s="1"/>
  <c r="H73" i="13"/>
  <c r="F90" i="2" l="1"/>
  <c r="N100" i="38" l="1"/>
  <c r="O100" i="38" s="1"/>
  <c r="L100" i="38"/>
  <c r="M100" i="38" s="1"/>
  <c r="B100" i="42"/>
  <c r="B100" i="43"/>
  <c r="B100" i="41"/>
  <c r="B100" i="46" l="1"/>
  <c r="P100" i="38"/>
  <c r="J99" i="41"/>
  <c r="J99" i="43"/>
  <c r="B101" i="45" l="1"/>
  <c r="J100" i="45"/>
  <c r="B101" i="44"/>
  <c r="J99" i="42"/>
  <c r="B101" i="41"/>
  <c r="B101" i="42"/>
  <c r="B101" i="38"/>
  <c r="B101" i="46" l="1"/>
  <c r="J99" i="46"/>
  <c r="J100" i="44"/>
  <c r="J100" i="38"/>
  <c r="J100" i="42"/>
  <c r="J100" i="41"/>
  <c r="B106" i="24"/>
  <c r="B101" i="37"/>
  <c r="B111" i="11"/>
  <c r="B107" i="23"/>
  <c r="B104" i="31"/>
  <c r="B100" i="40"/>
  <c r="B109" i="5"/>
  <c r="B105" i="27"/>
  <c r="B108" i="22"/>
  <c r="B109" i="3"/>
  <c r="B104" i="29"/>
  <c r="B110" i="8"/>
  <c r="B101" i="39"/>
  <c r="B103" i="30"/>
  <c r="B110" i="6"/>
  <c r="B101" i="43"/>
  <c r="B109" i="4"/>
  <c r="B111" i="9"/>
  <c r="B104" i="28"/>
  <c r="B108" i="25"/>
  <c r="B112" i="10"/>
  <c r="B112" i="7"/>
  <c r="J100" i="46" l="1"/>
  <c r="B102" i="45"/>
  <c r="B102" i="44"/>
  <c r="B102" i="38"/>
  <c r="B102" i="42"/>
  <c r="B102" i="41"/>
  <c r="J100" i="43"/>
  <c r="J102" i="30"/>
  <c r="J103" i="29"/>
  <c r="J108" i="3"/>
  <c r="J100" i="37"/>
  <c r="J107" i="25"/>
  <c r="J103" i="28"/>
  <c r="J99" i="40"/>
  <c r="J100" i="39"/>
  <c r="J107" i="22"/>
  <c r="J109" i="8"/>
  <c r="J103" i="31"/>
  <c r="J111" i="7"/>
  <c r="J111" i="10"/>
  <c r="J110" i="9"/>
  <c r="J109" i="6"/>
  <c r="J105" i="24"/>
  <c r="J104" i="27"/>
  <c r="J106" i="23"/>
  <c r="J110" i="11"/>
  <c r="J108" i="5"/>
  <c r="J108" i="4"/>
  <c r="J101" i="44" l="1"/>
  <c r="J101" i="45"/>
  <c r="J101" i="42"/>
  <c r="J101" i="38"/>
  <c r="D103" i="42"/>
  <c r="J101" i="41"/>
  <c r="B107" i="24"/>
  <c r="B101" i="40"/>
  <c r="B106" i="27"/>
  <c r="B104" i="30"/>
  <c r="B109" i="25"/>
  <c r="B109" i="22"/>
  <c r="B111" i="8"/>
  <c r="B113" i="7"/>
  <c r="B105" i="31"/>
  <c r="B105" i="29"/>
  <c r="B105" i="28"/>
  <c r="B110" i="4"/>
  <c r="B113" i="10"/>
  <c r="B108" i="23"/>
  <c r="B110" i="3"/>
  <c r="B102" i="43"/>
  <c r="B112" i="11"/>
  <c r="B111" i="6"/>
  <c r="B112" i="9"/>
  <c r="B102" i="39"/>
  <c r="B102" i="37"/>
  <c r="B110" i="5"/>
  <c r="B103" i="42" l="1"/>
  <c r="B103" i="38"/>
  <c r="B103" i="41"/>
  <c r="J111" i="9"/>
  <c r="J101" i="43"/>
  <c r="J112" i="10"/>
  <c r="J104" i="29"/>
  <c r="J109" i="5"/>
  <c r="J106" i="24"/>
  <c r="J109" i="3"/>
  <c r="J104" i="28"/>
  <c r="J105" i="27"/>
  <c r="J100" i="40"/>
  <c r="J101" i="37"/>
  <c r="J101" i="39"/>
  <c r="J110" i="6"/>
  <c r="J111" i="11"/>
  <c r="D103" i="43"/>
  <c r="J110" i="8"/>
  <c r="J108" i="25"/>
  <c r="J107" i="23"/>
  <c r="J109" i="4"/>
  <c r="J104" i="31"/>
  <c r="J112" i="7"/>
  <c r="J108" i="22"/>
  <c r="J103" i="30"/>
  <c r="J102" i="38" l="1"/>
  <c r="J102" i="41"/>
  <c r="J102" i="42"/>
  <c r="B106" i="28"/>
  <c r="B109" i="23"/>
  <c r="B103" i="39"/>
  <c r="B108" i="24"/>
  <c r="B111" i="3"/>
  <c r="B111" i="4"/>
  <c r="B107" i="27"/>
  <c r="B114" i="7"/>
  <c r="B106" i="29"/>
  <c r="B103" i="43"/>
  <c r="B110" i="22"/>
  <c r="B114" i="10"/>
  <c r="B112" i="6"/>
  <c r="B105" i="30"/>
  <c r="B106" i="31"/>
  <c r="B112" i="8"/>
  <c r="B110" i="25"/>
  <c r="B113" i="11"/>
  <c r="B111" i="5"/>
  <c r="B102" i="40"/>
  <c r="B103" i="37"/>
  <c r="B113" i="9"/>
  <c r="J105" i="29" l="1"/>
  <c r="J102" i="37"/>
  <c r="J109" i="25"/>
  <c r="J109" i="22"/>
  <c r="J110" i="4"/>
  <c r="J107" i="24"/>
  <c r="J108" i="23"/>
  <c r="J101" i="40"/>
  <c r="J110" i="5"/>
  <c r="J112" i="11"/>
  <c r="J111" i="8"/>
  <c r="J104" i="30"/>
  <c r="J113" i="10"/>
  <c r="J102" i="43"/>
  <c r="J106" i="27"/>
  <c r="J105" i="28"/>
  <c r="J110" i="3"/>
  <c r="J105" i="31"/>
  <c r="J111" i="6"/>
  <c r="J113" i="7"/>
  <c r="J102" i="39"/>
  <c r="J112" i="9"/>
  <c r="P108" i="25" l="1"/>
  <c r="B104" i="39"/>
  <c r="B107" i="28"/>
  <c r="B108" i="27"/>
  <c r="B112" i="3"/>
  <c r="B115" i="10"/>
  <c r="B107" i="31"/>
  <c r="B115" i="7"/>
  <c r="B103" i="40"/>
  <c r="B112" i="4"/>
  <c r="B113" i="6"/>
  <c r="B114" i="9"/>
  <c r="B106" i="30"/>
  <c r="B112" i="5"/>
  <c r="B113" i="8"/>
  <c r="B104" i="37"/>
  <c r="B109" i="24"/>
  <c r="B110" i="23"/>
  <c r="B111" i="22"/>
  <c r="B107" i="29"/>
  <c r="B114" i="11"/>
  <c r="J112" i="8" l="1"/>
  <c r="J113" i="9"/>
  <c r="J103" i="39"/>
  <c r="J111" i="3"/>
  <c r="J108" i="24"/>
  <c r="J111" i="4"/>
  <c r="J103" i="37"/>
  <c r="J102" i="40"/>
  <c r="J114" i="10"/>
  <c r="J107" i="27"/>
  <c r="J106" i="28"/>
  <c r="J110" i="22"/>
  <c r="J105" i="30"/>
  <c r="J106" i="31"/>
  <c r="J106" i="29"/>
  <c r="J111" i="5"/>
  <c r="J112" i="6"/>
  <c r="J114" i="7"/>
  <c r="J113" i="11"/>
  <c r="J109" i="23"/>
  <c r="L99" i="47" l="1"/>
  <c r="M99" i="47" s="1"/>
  <c r="L86" i="49"/>
  <c r="L86" i="47" l="1"/>
  <c r="I17" i="49"/>
  <c r="M17" i="49"/>
  <c r="N6" i="49"/>
  <c r="L99" i="49"/>
  <c r="M99" i="49" s="1"/>
  <c r="K17" i="49"/>
  <c r="N5" i="49"/>
  <c r="L86" i="48"/>
  <c r="J99" i="47" l="1"/>
  <c r="N99" i="47"/>
  <c r="O99" i="47" s="1"/>
  <c r="P99" i="47" s="1"/>
  <c r="N17" i="49"/>
  <c r="N87" i="49"/>
  <c r="L17" i="49"/>
  <c r="M87" i="49"/>
  <c r="N99" i="49"/>
  <c r="O99" i="49" s="1"/>
  <c r="P99" i="49" s="1"/>
  <c r="J99" i="49"/>
  <c r="N7" i="49"/>
  <c r="L99" i="48"/>
  <c r="M99" i="48" s="1"/>
  <c r="O17" i="49" l="1"/>
  <c r="O87" i="49"/>
  <c r="N99" i="48"/>
  <c r="O99" i="48" s="1"/>
  <c r="P99" i="48" s="1"/>
  <c r="J99" i="48"/>
  <c r="M17" i="47" l="1"/>
  <c r="I17" i="47"/>
  <c r="N6" i="47"/>
  <c r="K17" i="47"/>
  <c r="N5" i="47"/>
  <c r="B18" i="48"/>
  <c r="K17" i="48"/>
  <c r="N5" i="48"/>
  <c r="I17" i="48"/>
  <c r="M17" i="48"/>
  <c r="N6" i="48"/>
  <c r="L17" i="48" l="1"/>
  <c r="M87" i="48"/>
  <c r="N17" i="47"/>
  <c r="N87" i="47"/>
  <c r="N17" i="48"/>
  <c r="N87" i="48"/>
  <c r="L17" i="47"/>
  <c r="M87" i="47"/>
  <c r="N7" i="47"/>
  <c r="M19" i="1"/>
  <c r="M20" i="1" s="1"/>
  <c r="I18" i="48"/>
  <c r="I18" i="49"/>
  <c r="N7" i="48"/>
  <c r="N19" i="1"/>
  <c r="O17" i="48" l="1"/>
  <c r="O17" i="47"/>
  <c r="N17" i="2"/>
  <c r="R132" i="2" s="1"/>
  <c r="O87" i="47"/>
  <c r="O17" i="2"/>
  <c r="O87" i="48"/>
  <c r="O19" i="1"/>
  <c r="N20" i="1"/>
  <c r="R133" i="2" l="1"/>
  <c r="P17" i="2"/>
  <c r="R134" i="1"/>
  <c r="F51" i="17"/>
  <c r="O20" i="1"/>
  <c r="D108" i="29" l="1"/>
  <c r="D116" i="7"/>
  <c r="D116" i="10"/>
  <c r="D103" i="44"/>
  <c r="D105" i="37"/>
  <c r="D107" i="30"/>
  <c r="D108" i="28"/>
  <c r="D115" i="11"/>
  <c r="D104" i="38"/>
  <c r="B104" i="38" s="1"/>
  <c r="D104" i="40"/>
  <c r="D108" i="31"/>
  <c r="D115" i="9"/>
  <c r="D110" i="24"/>
  <c r="D112" i="22"/>
  <c r="D104" i="41"/>
  <c r="B104" i="41" s="1"/>
  <c r="D113" i="4"/>
  <c r="D109" i="27"/>
  <c r="D113" i="5"/>
  <c r="D111" i="23"/>
  <c r="D105" i="39"/>
  <c r="D114" i="6"/>
  <c r="D103" i="45"/>
  <c r="D113" i="3"/>
  <c r="J110" i="25" l="1"/>
  <c r="B109" i="27"/>
  <c r="B112" i="22"/>
  <c r="B114" i="6"/>
  <c r="B111" i="23"/>
  <c r="J112" i="5"/>
  <c r="B113" i="4"/>
  <c r="J103" i="41"/>
  <c r="B108" i="31"/>
  <c r="J103" i="40"/>
  <c r="J103" i="38"/>
  <c r="J114" i="11"/>
  <c r="B108" i="28"/>
  <c r="J106" i="30"/>
  <c r="B116" i="7"/>
  <c r="B108" i="29"/>
  <c r="J102" i="45"/>
  <c r="B111" i="25"/>
  <c r="J113" i="8"/>
  <c r="J102" i="44"/>
  <c r="J115" i="10"/>
  <c r="J112" i="3"/>
  <c r="B103" i="45"/>
  <c r="B105" i="39"/>
  <c r="J110" i="23"/>
  <c r="J112" i="4"/>
  <c r="J114" i="9"/>
  <c r="J107" i="31"/>
  <c r="B114" i="8"/>
  <c r="J107" i="28"/>
  <c r="B107" i="30"/>
  <c r="B103" i="44"/>
  <c r="B116" i="10"/>
  <c r="J115" i="7"/>
  <c r="J107" i="29"/>
  <c r="B113" i="3"/>
  <c r="J104" i="39"/>
  <c r="B110" i="24"/>
  <c r="B115" i="9"/>
  <c r="B105" i="37"/>
  <c r="J113" i="6"/>
  <c r="B113" i="5"/>
  <c r="J108" i="27"/>
  <c r="J111" i="22"/>
  <c r="J109" i="24"/>
  <c r="B104" i="40"/>
  <c r="J101" i="46"/>
  <c r="B115" i="11"/>
  <c r="J104" i="37"/>
  <c r="D112" i="25" l="1"/>
  <c r="B112" i="25" l="1"/>
  <c r="J111" i="25"/>
  <c r="D92" i="46" l="1"/>
  <c r="D102" i="46" s="1"/>
  <c r="B102" i="46" s="1"/>
  <c r="D21" i="46" l="1"/>
  <c r="D92" i="49"/>
  <c r="D92" i="48"/>
  <c r="D92" i="47"/>
  <c r="D100" i="49" l="1"/>
  <c r="B100" i="49" s="1"/>
  <c r="J96" i="49"/>
  <c r="D100" i="48"/>
  <c r="B100" i="48" s="1"/>
  <c r="J96" i="48"/>
  <c r="D100" i="47"/>
  <c r="B100" i="47" s="1"/>
  <c r="J96" i="47"/>
  <c r="I14" i="47"/>
  <c r="D18" i="47"/>
  <c r="I14" i="48"/>
  <c r="I14" i="49"/>
  <c r="D19" i="49"/>
  <c r="B21" i="46"/>
  <c r="E100" i="49" l="1"/>
  <c r="F100" i="49" s="1"/>
  <c r="E101" i="49" s="1"/>
  <c r="E100" i="48"/>
  <c r="F100" i="48" s="1"/>
  <c r="E101" i="48" s="1"/>
  <c r="E100" i="47"/>
  <c r="F100" i="47" s="1"/>
  <c r="B19" i="49"/>
  <c r="B19" i="48"/>
  <c r="E19" i="49"/>
  <c r="F19" i="49" s="1"/>
  <c r="D20" i="49" s="1"/>
  <c r="B18" i="47"/>
  <c r="E18" i="47"/>
  <c r="F18" i="47" s="1"/>
  <c r="G18" i="47" s="1"/>
  <c r="D101" i="49" l="1"/>
  <c r="B101" i="49" s="1"/>
  <c r="G100" i="49"/>
  <c r="D101" i="48"/>
  <c r="G100" i="48"/>
  <c r="E101" i="47"/>
  <c r="G100" i="47"/>
  <c r="D101" i="47"/>
  <c r="D20" i="48"/>
  <c r="E20" i="48"/>
  <c r="G19" i="49"/>
  <c r="H19" i="49"/>
  <c r="E20" i="49"/>
  <c r="F20" i="49" s="1"/>
  <c r="D21" i="49" s="1"/>
  <c r="B20" i="49"/>
  <c r="H18" i="47"/>
  <c r="D19" i="47"/>
  <c r="H100" i="49" l="1"/>
  <c r="I100" i="49"/>
  <c r="F101" i="49"/>
  <c r="H100" i="48"/>
  <c r="L100" i="48" s="1"/>
  <c r="M100" i="48" s="1"/>
  <c r="I100" i="48"/>
  <c r="B101" i="48"/>
  <c r="F101" i="48"/>
  <c r="B101" i="47"/>
  <c r="F101" i="47"/>
  <c r="I100" i="47"/>
  <c r="H100" i="47"/>
  <c r="M88" i="47" s="1"/>
  <c r="M89" i="47" s="1"/>
  <c r="I19" i="49"/>
  <c r="E19" i="47"/>
  <c r="F19" i="47" s="1"/>
  <c r="B19" i="47"/>
  <c r="E21" i="49"/>
  <c r="F21" i="49" s="1"/>
  <c r="G21" i="49" s="1"/>
  <c r="B21" i="49"/>
  <c r="I19" i="48"/>
  <c r="I18" i="47"/>
  <c r="G20" i="49"/>
  <c r="F20" i="48"/>
  <c r="G20" i="48" s="1"/>
  <c r="B20" i="48"/>
  <c r="H20" i="49"/>
  <c r="I46" i="17"/>
  <c r="D102" i="49" l="1"/>
  <c r="B102" i="49" s="1"/>
  <c r="G101" i="49"/>
  <c r="E102" i="49"/>
  <c r="N100" i="49"/>
  <c r="O100" i="49" s="1"/>
  <c r="N88" i="49"/>
  <c r="J100" i="49"/>
  <c r="L100" i="49"/>
  <c r="M100" i="49" s="1"/>
  <c r="M88" i="49"/>
  <c r="M89" i="49" s="1"/>
  <c r="D102" i="48"/>
  <c r="B102" i="48" s="1"/>
  <c r="G101" i="48"/>
  <c r="E102" i="48"/>
  <c r="N100" i="48"/>
  <c r="O100" i="48" s="1"/>
  <c r="P100" i="48" s="1"/>
  <c r="J100" i="48"/>
  <c r="G101" i="47"/>
  <c r="D102" i="47"/>
  <c r="B102" i="47" s="1"/>
  <c r="E102" i="47"/>
  <c r="N88" i="47"/>
  <c r="J100" i="47"/>
  <c r="H20" i="48"/>
  <c r="I20" i="48" s="1"/>
  <c r="D20" i="47"/>
  <c r="E20" i="47"/>
  <c r="D21" i="48"/>
  <c r="E21" i="48"/>
  <c r="H19" i="47"/>
  <c r="H21" i="49"/>
  <c r="I21" i="49" s="1"/>
  <c r="D22" i="49"/>
  <c r="E22" i="49"/>
  <c r="I20" i="49"/>
  <c r="G19" i="47"/>
  <c r="I48" i="17"/>
  <c r="F102" i="48" l="1"/>
  <c r="D103" i="48" s="1"/>
  <c r="B103" i="48" s="1"/>
  <c r="F102" i="49"/>
  <c r="G102" i="49" s="1"/>
  <c r="N89" i="49"/>
  <c r="O88" i="49"/>
  <c r="O89" i="49" s="1"/>
  <c r="P100" i="49"/>
  <c r="H101" i="49"/>
  <c r="I101" i="49"/>
  <c r="H101" i="48"/>
  <c r="M88" i="48" s="1"/>
  <c r="M89" i="48" s="1"/>
  <c r="I101" i="48"/>
  <c r="F102" i="47"/>
  <c r="E103" i="47" s="1"/>
  <c r="I101" i="47"/>
  <c r="H101" i="47"/>
  <c r="N89" i="47"/>
  <c r="O88" i="47"/>
  <c r="O89" i="47" s="1"/>
  <c r="B22" i="49"/>
  <c r="F22" i="49"/>
  <c r="H22" i="49" s="1"/>
  <c r="I19" i="47"/>
  <c r="F21" i="48"/>
  <c r="G21" i="48" s="1"/>
  <c r="B21" i="48"/>
  <c r="F20" i="47"/>
  <c r="H20" i="47" s="1"/>
  <c r="B20" i="47"/>
  <c r="I47" i="17"/>
  <c r="G102" i="47" l="1"/>
  <c r="I102" i="47" s="1"/>
  <c r="E103" i="49"/>
  <c r="D103" i="49"/>
  <c r="B103" i="49" s="1"/>
  <c r="E103" i="48"/>
  <c r="F103" i="48" s="1"/>
  <c r="G103" i="48" s="1"/>
  <c r="G102" i="48"/>
  <c r="H102" i="48" s="1"/>
  <c r="H102" i="49"/>
  <c r="I102" i="49"/>
  <c r="D103" i="47"/>
  <c r="F103" i="47" s="1"/>
  <c r="J101" i="49"/>
  <c r="J101" i="48"/>
  <c r="N88" i="48"/>
  <c r="J101" i="47"/>
  <c r="G20" i="47"/>
  <c r="I20" i="47" s="1"/>
  <c r="D21" i="47"/>
  <c r="G22" i="49"/>
  <c r="I22" i="49" s="1"/>
  <c r="D23" i="49"/>
  <c r="E23" i="49"/>
  <c r="H21" i="48"/>
  <c r="I21" i="48" s="1"/>
  <c r="D22" i="48"/>
  <c r="E22" i="48"/>
  <c r="H102" i="47" l="1"/>
  <c r="J102" i="47" s="1"/>
  <c r="I102" i="48"/>
  <c r="J102" i="48" s="1"/>
  <c r="D104" i="48"/>
  <c r="B104" i="48" s="1"/>
  <c r="E104" i="48"/>
  <c r="F103" i="49"/>
  <c r="G103" i="49" s="1"/>
  <c r="B103" i="47"/>
  <c r="J102" i="49"/>
  <c r="O88" i="48"/>
  <c r="O89" i="48" s="1"/>
  <c r="N89" i="48"/>
  <c r="H103" i="48"/>
  <c r="I103" i="48"/>
  <c r="D104" i="47"/>
  <c r="B104" i="47" s="1"/>
  <c r="G103" i="47"/>
  <c r="E104" i="47"/>
  <c r="E21" i="47"/>
  <c r="F21" i="47" s="1"/>
  <c r="B21" i="47"/>
  <c r="F22" i="48"/>
  <c r="B22" i="48"/>
  <c r="B23" i="49"/>
  <c r="F23" i="49"/>
  <c r="G23" i="49" s="1"/>
  <c r="F104" i="48" l="1"/>
  <c r="G104" i="48" s="1"/>
  <c r="H104" i="48" s="1"/>
  <c r="D104" i="49"/>
  <c r="B104" i="49" s="1"/>
  <c r="J103" i="48"/>
  <c r="E104" i="49"/>
  <c r="F104" i="47"/>
  <c r="D105" i="47" s="1"/>
  <c r="B105" i="47" s="1"/>
  <c r="I103" i="49"/>
  <c r="H103" i="49"/>
  <c r="H103" i="47"/>
  <c r="I103" i="47"/>
  <c r="D22" i="47"/>
  <c r="B22" i="47" s="1"/>
  <c r="H21" i="47"/>
  <c r="G21" i="47"/>
  <c r="H23" i="49"/>
  <c r="I23" i="49" s="1"/>
  <c r="D24" i="49"/>
  <c r="E24" i="49"/>
  <c r="H22" i="48"/>
  <c r="D23" i="48"/>
  <c r="E23" i="48"/>
  <c r="E22" i="47"/>
  <c r="G22" i="48"/>
  <c r="D105" i="48" l="1"/>
  <c r="B105" i="48" s="1"/>
  <c r="E105" i="48"/>
  <c r="I104" i="48"/>
  <c r="J104" i="48" s="1"/>
  <c r="F104" i="49"/>
  <c r="G104" i="49" s="1"/>
  <c r="E105" i="47"/>
  <c r="F105" i="47" s="1"/>
  <c r="D106" i="47" s="1"/>
  <c r="G104" i="47"/>
  <c r="I104" i="47" s="1"/>
  <c r="J103" i="49"/>
  <c r="J103" i="47"/>
  <c r="F22" i="47"/>
  <c r="H22" i="47" s="1"/>
  <c r="I21" i="47"/>
  <c r="I22" i="48"/>
  <c r="F23" i="48"/>
  <c r="G23" i="48" s="1"/>
  <c r="B23" i="48"/>
  <c r="F24" i="49"/>
  <c r="G24" i="49" s="1"/>
  <c r="B24" i="49"/>
  <c r="E105" i="49" l="1"/>
  <c r="H104" i="47"/>
  <c r="J104" i="47" s="1"/>
  <c r="D105" i="49"/>
  <c r="B105" i="49" s="1"/>
  <c r="F105" i="48"/>
  <c r="D106" i="48" s="1"/>
  <c r="B106" i="48" s="1"/>
  <c r="E106" i="47"/>
  <c r="F106" i="47" s="1"/>
  <c r="G105" i="47"/>
  <c r="I105" i="47" s="1"/>
  <c r="I104" i="49"/>
  <c r="H104" i="49"/>
  <c r="E23" i="47"/>
  <c r="G22" i="47"/>
  <c r="I22" i="47" s="1"/>
  <c r="D23" i="47"/>
  <c r="B23" i="47" s="1"/>
  <c r="B106" i="47"/>
  <c r="H23" i="48"/>
  <c r="I23" i="48" s="1"/>
  <c r="H24" i="49"/>
  <c r="I24" i="49" s="1"/>
  <c r="D25" i="49"/>
  <c r="E25" i="49"/>
  <c r="D24" i="48"/>
  <c r="E24" i="48"/>
  <c r="H105" i="47" l="1"/>
  <c r="J105" i="47" s="1"/>
  <c r="F105" i="49"/>
  <c r="G105" i="49" s="1"/>
  <c r="E106" i="48"/>
  <c r="G105" i="48"/>
  <c r="I105" i="48" s="1"/>
  <c r="D106" i="49"/>
  <c r="B106" i="49" s="1"/>
  <c r="F106" i="48"/>
  <c r="H105" i="48"/>
  <c r="J104" i="49"/>
  <c r="F23" i="47"/>
  <c r="H23" i="47" s="1"/>
  <c r="I105" i="49"/>
  <c r="H105" i="49"/>
  <c r="G106" i="47"/>
  <c r="D107" i="47"/>
  <c r="E107" i="47"/>
  <c r="F24" i="48"/>
  <c r="H24" i="48" s="1"/>
  <c r="B24" i="48"/>
  <c r="B25" i="49"/>
  <c r="F25" i="49"/>
  <c r="H25" i="49" s="1"/>
  <c r="E106" i="49" l="1"/>
  <c r="F106" i="49"/>
  <c r="G106" i="49" s="1"/>
  <c r="E24" i="47"/>
  <c r="D24" i="47"/>
  <c r="B24" i="47" s="1"/>
  <c r="E107" i="48"/>
  <c r="G106" i="48"/>
  <c r="D107" i="48"/>
  <c r="G23" i="47"/>
  <c r="I23" i="47" s="1"/>
  <c r="J105" i="48"/>
  <c r="J105" i="49"/>
  <c r="B107" i="47"/>
  <c r="F107" i="47"/>
  <c r="H106" i="47"/>
  <c r="I106" i="47"/>
  <c r="G24" i="48"/>
  <c r="I24" i="48" s="1"/>
  <c r="G25" i="49"/>
  <c r="I25" i="49" s="1"/>
  <c r="D26" i="49"/>
  <c r="E26" i="49"/>
  <c r="D25" i="48"/>
  <c r="E25" i="48"/>
  <c r="E107" i="49" l="1"/>
  <c r="D107" i="49"/>
  <c r="B107" i="49" s="1"/>
  <c r="F24" i="47"/>
  <c r="G24" i="47" s="1"/>
  <c r="I106" i="48"/>
  <c r="H106" i="48"/>
  <c r="J106" i="47"/>
  <c r="B107" i="48"/>
  <c r="F107" i="48"/>
  <c r="H106" i="49"/>
  <c r="I106" i="49"/>
  <c r="G107" i="47"/>
  <c r="D108" i="47"/>
  <c r="E108" i="47"/>
  <c r="B25" i="48"/>
  <c r="F25" i="48"/>
  <c r="G25" i="48" s="1"/>
  <c r="B26" i="49"/>
  <c r="F26" i="49"/>
  <c r="H26" i="49" s="1"/>
  <c r="F107" i="49" l="1"/>
  <c r="E108" i="49" s="1"/>
  <c r="H24" i="47"/>
  <c r="I24" i="47" s="1"/>
  <c r="E25" i="47"/>
  <c r="D25" i="47"/>
  <c r="B25" i="47" s="1"/>
  <c r="J106" i="49"/>
  <c r="J106" i="48"/>
  <c r="G107" i="48"/>
  <c r="D108" i="48"/>
  <c r="E108" i="48"/>
  <c r="B108" i="47"/>
  <c r="F108" i="47"/>
  <c r="H107" i="47"/>
  <c r="I107" i="47"/>
  <c r="H25" i="48"/>
  <c r="I25" i="48" s="1"/>
  <c r="G26" i="49"/>
  <c r="I26" i="49" s="1"/>
  <c r="D27" i="49"/>
  <c r="E27" i="49"/>
  <c r="D26" i="48"/>
  <c r="E26" i="48"/>
  <c r="D108" i="49" l="1"/>
  <c r="B108" i="49" s="1"/>
  <c r="G107" i="49"/>
  <c r="H107" i="49" s="1"/>
  <c r="F25" i="47"/>
  <c r="G25" i="47" s="1"/>
  <c r="I107" i="48"/>
  <c r="H107" i="48"/>
  <c r="B108" i="48"/>
  <c r="F108" i="48"/>
  <c r="J107" i="47"/>
  <c r="D109" i="47"/>
  <c r="B109" i="47" s="1"/>
  <c r="G108" i="47"/>
  <c r="E109" i="47"/>
  <c r="H25" i="47"/>
  <c r="I25" i="47" s="1"/>
  <c r="B26" i="48"/>
  <c r="F26" i="48"/>
  <c r="G26" i="48" s="1"/>
  <c r="D26" i="47"/>
  <c r="F27" i="49"/>
  <c r="H27" i="49" s="1"/>
  <c r="B27" i="49"/>
  <c r="I107" i="49" l="1"/>
  <c r="J107" i="49" s="1"/>
  <c r="F108" i="49"/>
  <c r="E109" i="49" s="1"/>
  <c r="E26" i="47"/>
  <c r="F26" i="47" s="1"/>
  <c r="G108" i="48"/>
  <c r="D109" i="48"/>
  <c r="E109" i="48"/>
  <c r="J107" i="48"/>
  <c r="F109" i="47"/>
  <c r="G109" i="47" s="1"/>
  <c r="I108" i="47"/>
  <c r="H108" i="47"/>
  <c r="B26" i="47"/>
  <c r="G27" i="49"/>
  <c r="I27" i="49" s="1"/>
  <c r="D28" i="49"/>
  <c r="E28" i="49"/>
  <c r="H26" i="48"/>
  <c r="I26" i="48" s="1"/>
  <c r="D27" i="48"/>
  <c r="E27" i="48"/>
  <c r="G108" i="49" l="1"/>
  <c r="H108" i="49" s="1"/>
  <c r="D109" i="49"/>
  <c r="F109" i="49" s="1"/>
  <c r="B109" i="48"/>
  <c r="F109" i="48"/>
  <c r="I108" i="48"/>
  <c r="H108" i="48"/>
  <c r="E110" i="47"/>
  <c r="D110" i="47"/>
  <c r="B110" i="47" s="1"/>
  <c r="J108" i="47"/>
  <c r="H109" i="47"/>
  <c r="I109" i="47"/>
  <c r="F28" i="49"/>
  <c r="G28" i="49" s="1"/>
  <c r="B28" i="49"/>
  <c r="H26" i="47"/>
  <c r="D27" i="47"/>
  <c r="F27" i="48"/>
  <c r="G27" i="48" s="1"/>
  <c r="B27" i="48"/>
  <c r="G26" i="47"/>
  <c r="B109" i="49" l="1"/>
  <c r="I108" i="49"/>
  <c r="J108" i="49" s="1"/>
  <c r="J108" i="48"/>
  <c r="D110" i="49"/>
  <c r="G109" i="49"/>
  <c r="E110" i="49"/>
  <c r="E110" i="48"/>
  <c r="G109" i="48"/>
  <c r="D110" i="48"/>
  <c r="J109" i="47"/>
  <c r="F110" i="47"/>
  <c r="E111" i="47" s="1"/>
  <c r="I26" i="47"/>
  <c r="H27" i="48"/>
  <c r="I27" i="48" s="1"/>
  <c r="D28" i="48"/>
  <c r="E28" i="48"/>
  <c r="E27" i="47"/>
  <c r="F27" i="47" s="1"/>
  <c r="B27" i="47"/>
  <c r="H28" i="49"/>
  <c r="I28" i="49" s="1"/>
  <c r="D29" i="49"/>
  <c r="E29" i="49"/>
  <c r="B110" i="49" l="1"/>
  <c r="F110" i="49"/>
  <c r="I109" i="49"/>
  <c r="H109" i="49"/>
  <c r="B110" i="48"/>
  <c r="F110" i="48"/>
  <c r="I109" i="48"/>
  <c r="H109" i="48"/>
  <c r="G110" i="47"/>
  <c r="D111" i="47"/>
  <c r="G27" i="47"/>
  <c r="D28" i="47"/>
  <c r="H27" i="47"/>
  <c r="F28" i="48"/>
  <c r="G28" i="48" s="1"/>
  <c r="B28" i="48"/>
  <c r="B29" i="49"/>
  <c r="F29" i="49"/>
  <c r="D111" i="49" l="1"/>
  <c r="G110" i="49"/>
  <c r="E111" i="49"/>
  <c r="J109" i="49"/>
  <c r="J109" i="48"/>
  <c r="G110" i="48"/>
  <c r="D111" i="48"/>
  <c r="E111" i="48"/>
  <c r="B111" i="47"/>
  <c r="F111" i="47"/>
  <c r="H110" i="47"/>
  <c r="I110" i="47"/>
  <c r="I27" i="47"/>
  <c r="D30" i="49"/>
  <c r="E30" i="49"/>
  <c r="H28" i="48"/>
  <c r="I28" i="48" s="1"/>
  <c r="D29" i="48"/>
  <c r="E29" i="48"/>
  <c r="H29" i="49"/>
  <c r="E28" i="47"/>
  <c r="F28" i="47" s="1"/>
  <c r="H28" i="47" s="1"/>
  <c r="B28" i="47"/>
  <c r="G29" i="49"/>
  <c r="B111" i="49" l="1"/>
  <c r="F111" i="49"/>
  <c r="H110" i="49"/>
  <c r="I110" i="49"/>
  <c r="B111" i="48"/>
  <c r="F111" i="48"/>
  <c r="J110" i="47"/>
  <c r="I110" i="48"/>
  <c r="H110" i="48"/>
  <c r="E112" i="47"/>
  <c r="D112" i="47"/>
  <c r="G111" i="47"/>
  <c r="G28" i="47"/>
  <c r="I28" i="47" s="1"/>
  <c r="D29" i="47"/>
  <c r="E29" i="47"/>
  <c r="B30" i="49"/>
  <c r="F30" i="49"/>
  <c r="H30" i="49" s="1"/>
  <c r="I29" i="49"/>
  <c r="F29" i="48"/>
  <c r="H29" i="48" s="1"/>
  <c r="B29" i="48"/>
  <c r="J110" i="49" l="1"/>
  <c r="D112" i="49"/>
  <c r="B112" i="49" s="1"/>
  <c r="G111" i="49"/>
  <c r="E112" i="49"/>
  <c r="J110" i="48"/>
  <c r="G111" i="48"/>
  <c r="E112" i="48"/>
  <c r="D112" i="48"/>
  <c r="I111" i="47"/>
  <c r="H111" i="47"/>
  <c r="B112" i="47"/>
  <c r="F112" i="47"/>
  <c r="D30" i="48"/>
  <c r="E30" i="48"/>
  <c r="G30" i="49"/>
  <c r="I30" i="49" s="1"/>
  <c r="D31" i="49"/>
  <c r="E31" i="49"/>
  <c r="F29" i="47"/>
  <c r="H29" i="47" s="1"/>
  <c r="B29" i="47"/>
  <c r="G29" i="48"/>
  <c r="I29" i="48" s="1"/>
  <c r="F112" i="49" l="1"/>
  <c r="E113" i="49" s="1"/>
  <c r="H111" i="49"/>
  <c r="I111" i="49"/>
  <c r="B112" i="48"/>
  <c r="F112" i="48"/>
  <c r="I111" i="48"/>
  <c r="H111" i="48"/>
  <c r="G112" i="47"/>
  <c r="D113" i="47"/>
  <c r="E113" i="47"/>
  <c r="J111" i="47"/>
  <c r="F30" i="48"/>
  <c r="H30" i="48" s="1"/>
  <c r="B30" i="48"/>
  <c r="G29" i="47"/>
  <c r="I29" i="47" s="1"/>
  <c r="D30" i="47"/>
  <c r="F31" i="49"/>
  <c r="G31" i="49" s="1"/>
  <c r="B31" i="49"/>
  <c r="G112" i="49" l="1"/>
  <c r="I112" i="49" s="1"/>
  <c r="D113" i="49"/>
  <c r="B113" i="49" s="1"/>
  <c r="J111" i="49"/>
  <c r="J111" i="48"/>
  <c r="E113" i="48"/>
  <c r="D113" i="48"/>
  <c r="B113" i="48" s="1"/>
  <c r="G112" i="48"/>
  <c r="B113" i="47"/>
  <c r="F113" i="47"/>
  <c r="I112" i="47"/>
  <c r="H112" i="47"/>
  <c r="E30" i="47"/>
  <c r="F30" i="47" s="1"/>
  <c r="B30" i="47"/>
  <c r="H31" i="49"/>
  <c r="I31" i="49" s="1"/>
  <c r="D32" i="49"/>
  <c r="E32" i="49"/>
  <c r="G30" i="48"/>
  <c r="I30" i="48" s="1"/>
  <c r="D31" i="48"/>
  <c r="E31" i="48"/>
  <c r="H112" i="49" l="1"/>
  <c r="F113" i="49"/>
  <c r="J112" i="49"/>
  <c r="F113" i="48"/>
  <c r="E114" i="48" s="1"/>
  <c r="H112" i="48"/>
  <c r="I112" i="48"/>
  <c r="J112" i="47"/>
  <c r="G113" i="47"/>
  <c r="D114" i="47"/>
  <c r="B114" i="47" s="1"/>
  <c r="E114" i="47"/>
  <c r="D31" i="47"/>
  <c r="E31" i="47"/>
  <c r="G30" i="47"/>
  <c r="H30" i="47"/>
  <c r="F31" i="48"/>
  <c r="H31" i="48" s="1"/>
  <c r="B31" i="48"/>
  <c r="B32" i="49"/>
  <c r="F32" i="49"/>
  <c r="G113" i="49" l="1"/>
  <c r="D114" i="49"/>
  <c r="E114" i="49"/>
  <c r="J112" i="48"/>
  <c r="G113" i="48"/>
  <c r="H113" i="48" s="1"/>
  <c r="D114" i="48"/>
  <c r="B114" i="48" s="1"/>
  <c r="F114" i="47"/>
  <c r="H113" i="47"/>
  <c r="I113" i="47"/>
  <c r="I30" i="47"/>
  <c r="H32" i="49"/>
  <c r="D33" i="49"/>
  <c r="E33" i="49"/>
  <c r="G31" i="48"/>
  <c r="I31" i="48" s="1"/>
  <c r="D32" i="48"/>
  <c r="E32" i="48"/>
  <c r="G32" i="49"/>
  <c r="B31" i="47"/>
  <c r="F31" i="47"/>
  <c r="B114" i="49" l="1"/>
  <c r="F114" i="49"/>
  <c r="H113" i="49"/>
  <c r="I113" i="49"/>
  <c r="J113" i="47"/>
  <c r="F114" i="48"/>
  <c r="D115" i="48" s="1"/>
  <c r="B115" i="48" s="1"/>
  <c r="I113" i="48"/>
  <c r="J113" i="48" s="1"/>
  <c r="E115" i="47"/>
  <c r="G114" i="47"/>
  <c r="D115" i="47"/>
  <c r="I32" i="49"/>
  <c r="F33" i="49"/>
  <c r="G33" i="49" s="1"/>
  <c r="B33" i="49"/>
  <c r="G31" i="47"/>
  <c r="D32" i="47"/>
  <c r="H31" i="47"/>
  <c r="F32" i="48"/>
  <c r="G32" i="48" s="1"/>
  <c r="B32" i="48"/>
  <c r="J113" i="49" l="1"/>
  <c r="E115" i="49"/>
  <c r="G114" i="49"/>
  <c r="D115" i="49"/>
  <c r="G114" i="48"/>
  <c r="I114" i="48" s="1"/>
  <c r="E115" i="48"/>
  <c r="F115" i="48" s="1"/>
  <c r="D116" i="48" s="1"/>
  <c r="B116" i="48" s="1"/>
  <c r="B115" i="47"/>
  <c r="F115" i="47"/>
  <c r="I114" i="47"/>
  <c r="H114" i="47"/>
  <c r="I31" i="47"/>
  <c r="H32" i="48"/>
  <c r="I32" i="48" s="1"/>
  <c r="E32" i="47"/>
  <c r="F32" i="47" s="1"/>
  <c r="D33" i="47" s="1"/>
  <c r="B32" i="47"/>
  <c r="D33" i="48"/>
  <c r="E33" i="48"/>
  <c r="H33" i="49"/>
  <c r="I33" i="49" s="1"/>
  <c r="D34" i="49"/>
  <c r="E34" i="49"/>
  <c r="H114" i="49" l="1"/>
  <c r="I114" i="49"/>
  <c r="B115" i="49"/>
  <c r="F115" i="49"/>
  <c r="H114" i="48"/>
  <c r="J114" i="48" s="1"/>
  <c r="E116" i="48"/>
  <c r="F116" i="48" s="1"/>
  <c r="D117" i="48" s="1"/>
  <c r="G115" i="48"/>
  <c r="H115" i="48" s="1"/>
  <c r="J114" i="47"/>
  <c r="D116" i="47"/>
  <c r="E116" i="47"/>
  <c r="G115" i="47"/>
  <c r="H32" i="47"/>
  <c r="B34" i="49"/>
  <c r="F34" i="49"/>
  <c r="G34" i="49" s="1"/>
  <c r="E33" i="47"/>
  <c r="F33" i="47" s="1"/>
  <c r="G33" i="47" s="1"/>
  <c r="B33" i="47"/>
  <c r="B33" i="48"/>
  <c r="F33" i="48"/>
  <c r="G33" i="48" s="1"/>
  <c r="G32" i="47"/>
  <c r="J114" i="49" l="1"/>
  <c r="E116" i="49"/>
  <c r="D116" i="49"/>
  <c r="G115" i="49"/>
  <c r="E117" i="48"/>
  <c r="F117" i="48" s="1"/>
  <c r="G116" i="48"/>
  <c r="I116" i="48" s="1"/>
  <c r="I115" i="48"/>
  <c r="J115" i="48" s="1"/>
  <c r="B117" i="48"/>
  <c r="H115" i="47"/>
  <c r="I115" i="47"/>
  <c r="B116" i="47"/>
  <c r="F116" i="47"/>
  <c r="H33" i="48"/>
  <c r="I33" i="48" s="1"/>
  <c r="H33" i="47"/>
  <c r="I33" i="47" s="1"/>
  <c r="D34" i="47"/>
  <c r="H34" i="49"/>
  <c r="I34" i="49" s="1"/>
  <c r="D35" i="49"/>
  <c r="E35" i="49"/>
  <c r="D34" i="48"/>
  <c r="E34" i="48"/>
  <c r="I32" i="47"/>
  <c r="H115" i="49" l="1"/>
  <c r="I115" i="49"/>
  <c r="B116" i="49"/>
  <c r="F116" i="49"/>
  <c r="H116" i="48"/>
  <c r="J116" i="48" s="1"/>
  <c r="D118" i="48"/>
  <c r="B118" i="48" s="1"/>
  <c r="E118" i="48"/>
  <c r="G117" i="48"/>
  <c r="E117" i="47"/>
  <c r="D117" i="47"/>
  <c r="G116" i="47"/>
  <c r="J115" i="47"/>
  <c r="F34" i="48"/>
  <c r="G34" i="48" s="1"/>
  <c r="B34" i="48"/>
  <c r="F35" i="49"/>
  <c r="H35" i="49" s="1"/>
  <c r="B35" i="49"/>
  <c r="E34" i="47"/>
  <c r="F34" i="47" s="1"/>
  <c r="B34" i="47"/>
  <c r="J115" i="49" l="1"/>
  <c r="D117" i="49"/>
  <c r="E117" i="49"/>
  <c r="G116" i="49"/>
  <c r="F118" i="48"/>
  <c r="G118" i="48" s="1"/>
  <c r="I117" i="48"/>
  <c r="H117" i="48"/>
  <c r="B117" i="47"/>
  <c r="F117" i="47"/>
  <c r="H116" i="47"/>
  <c r="I116" i="47"/>
  <c r="H34" i="47"/>
  <c r="D35" i="47"/>
  <c r="G34" i="47"/>
  <c r="G35" i="49"/>
  <c r="I35" i="49" s="1"/>
  <c r="D36" i="49"/>
  <c r="E36" i="49"/>
  <c r="H34" i="48"/>
  <c r="I34" i="48" s="1"/>
  <c r="D35" i="48"/>
  <c r="E35" i="48"/>
  <c r="H116" i="49" l="1"/>
  <c r="I116" i="49"/>
  <c r="B117" i="49"/>
  <c r="F117" i="49"/>
  <c r="J116" i="47"/>
  <c r="E119" i="48"/>
  <c r="D119" i="48"/>
  <c r="H118" i="48"/>
  <c r="I118" i="48"/>
  <c r="J117" i="48"/>
  <c r="G117" i="47"/>
  <c r="D118" i="47"/>
  <c r="B118" i="47" s="1"/>
  <c r="E118" i="47"/>
  <c r="I34" i="47"/>
  <c r="F35" i="48"/>
  <c r="G35" i="48" s="1"/>
  <c r="B35" i="48"/>
  <c r="E35" i="47"/>
  <c r="F35" i="47" s="1"/>
  <c r="G35" i="47" s="1"/>
  <c r="B35" i="47"/>
  <c r="F36" i="49"/>
  <c r="G36" i="49" s="1"/>
  <c r="B36" i="49"/>
  <c r="E118" i="49" l="1"/>
  <c r="G117" i="49"/>
  <c r="D118" i="49"/>
  <c r="J116" i="49"/>
  <c r="F119" i="48"/>
  <c r="G119" i="48" s="1"/>
  <c r="J118" i="48"/>
  <c r="B119" i="48"/>
  <c r="F118" i="47"/>
  <c r="E119" i="47" s="1"/>
  <c r="I117" i="47"/>
  <c r="H117" i="47"/>
  <c r="H35" i="47"/>
  <c r="I35" i="47" s="1"/>
  <c r="D36" i="47"/>
  <c r="H36" i="49"/>
  <c r="I36" i="49" s="1"/>
  <c r="D37" i="49"/>
  <c r="E37" i="49"/>
  <c r="H35" i="48"/>
  <c r="I35" i="48" s="1"/>
  <c r="D36" i="48"/>
  <c r="E36" i="48"/>
  <c r="D120" i="48" l="1"/>
  <c r="B120" i="48" s="1"/>
  <c r="E120" i="48"/>
  <c r="B118" i="49"/>
  <c r="F118" i="49"/>
  <c r="I117" i="49"/>
  <c r="H117" i="49"/>
  <c r="D119" i="47"/>
  <c r="B119" i="47" s="1"/>
  <c r="G118" i="47"/>
  <c r="H118" i="47" s="1"/>
  <c r="I119" i="48"/>
  <c r="H119" i="48"/>
  <c r="J117" i="47"/>
  <c r="E36" i="47"/>
  <c r="F36" i="47" s="1"/>
  <c r="G36" i="47" s="1"/>
  <c r="B36" i="47"/>
  <c r="B37" i="49"/>
  <c r="F37" i="49"/>
  <c r="H37" i="49" s="1"/>
  <c r="F36" i="48"/>
  <c r="H36" i="48" s="1"/>
  <c r="B36" i="48"/>
  <c r="F120" i="48" l="1"/>
  <c r="D121" i="48" s="1"/>
  <c r="J117" i="49"/>
  <c r="D119" i="49"/>
  <c r="G118" i="49"/>
  <c r="E119" i="49"/>
  <c r="I118" i="47"/>
  <c r="J118" i="47" s="1"/>
  <c r="F119" i="47"/>
  <c r="E120" i="47" s="1"/>
  <c r="J119" i="48"/>
  <c r="G120" i="48"/>
  <c r="G36" i="48"/>
  <c r="I36" i="48" s="1"/>
  <c r="D37" i="48"/>
  <c r="E37" i="48"/>
  <c r="H36" i="47"/>
  <c r="I36" i="47" s="1"/>
  <c r="D37" i="47"/>
  <c r="G37" i="49"/>
  <c r="I37" i="49" s="1"/>
  <c r="D38" i="49"/>
  <c r="E38" i="49"/>
  <c r="E121" i="48" l="1"/>
  <c r="F121" i="48" s="1"/>
  <c r="D120" i="47"/>
  <c r="B119" i="49"/>
  <c r="F119" i="49"/>
  <c r="H118" i="49"/>
  <c r="I118" i="49"/>
  <c r="G119" i="47"/>
  <c r="I119" i="47" s="1"/>
  <c r="H120" i="48"/>
  <c r="I120" i="48"/>
  <c r="B121" i="48"/>
  <c r="B120" i="47"/>
  <c r="F120" i="47"/>
  <c r="F38" i="49"/>
  <c r="H38" i="49" s="1"/>
  <c r="B38" i="49"/>
  <c r="B37" i="48"/>
  <c r="F37" i="48"/>
  <c r="G37" i="48" s="1"/>
  <c r="E37" i="47"/>
  <c r="F37" i="47" s="1"/>
  <c r="D38" i="47" s="1"/>
  <c r="B37" i="47"/>
  <c r="J118" i="49" l="1"/>
  <c r="H119" i="47"/>
  <c r="J119" i="47" s="1"/>
  <c r="D120" i="49"/>
  <c r="G119" i="49"/>
  <c r="E120" i="49"/>
  <c r="J120" i="48"/>
  <c r="G121" i="48"/>
  <c r="D122" i="48"/>
  <c r="B122" i="48" s="1"/>
  <c r="E122" i="48"/>
  <c r="D121" i="47"/>
  <c r="B121" i="47" s="1"/>
  <c r="E121" i="47"/>
  <c r="G120" i="47"/>
  <c r="G38" i="49"/>
  <c r="I38" i="49" s="1"/>
  <c r="D39" i="49"/>
  <c r="E39" i="49"/>
  <c r="E38" i="47"/>
  <c r="F38" i="47" s="1"/>
  <c r="G38" i="47" s="1"/>
  <c r="B38" i="47"/>
  <c r="G37" i="47"/>
  <c r="H37" i="47"/>
  <c r="H37" i="48"/>
  <c r="I37" i="48" s="1"/>
  <c r="D38" i="48"/>
  <c r="E38" i="48"/>
  <c r="I119" i="49" l="1"/>
  <c r="H119" i="49"/>
  <c r="B120" i="49"/>
  <c r="F120" i="49"/>
  <c r="F122" i="48"/>
  <c r="G122" i="48" s="1"/>
  <c r="F121" i="47"/>
  <c r="E122" i="47" s="1"/>
  <c r="H121" i="48"/>
  <c r="I121" i="48"/>
  <c r="H120" i="47"/>
  <c r="I120" i="47"/>
  <c r="I37" i="47"/>
  <c r="H38" i="47"/>
  <c r="I38" i="47" s="1"/>
  <c r="D39" i="47"/>
  <c r="F38" i="48"/>
  <c r="G38" i="48" s="1"/>
  <c r="B38" i="48"/>
  <c r="F39" i="49"/>
  <c r="G39" i="49" s="1"/>
  <c r="B39" i="49"/>
  <c r="E123" i="48" l="1"/>
  <c r="D123" i="48"/>
  <c r="B123" i="48" s="1"/>
  <c r="D121" i="49"/>
  <c r="E121" i="49"/>
  <c r="G120" i="49"/>
  <c r="J119" i="49"/>
  <c r="J120" i="47"/>
  <c r="G121" i="47"/>
  <c r="H121" i="47" s="1"/>
  <c r="D122" i="47"/>
  <c r="B122" i="47" s="1"/>
  <c r="H122" i="48"/>
  <c r="I122" i="48"/>
  <c r="J121" i="48"/>
  <c r="H39" i="49"/>
  <c r="I39" i="49" s="1"/>
  <c r="D40" i="49"/>
  <c r="E40" i="49"/>
  <c r="E39" i="47"/>
  <c r="F39" i="47" s="1"/>
  <c r="D40" i="47" s="1"/>
  <c r="B39" i="47"/>
  <c r="H38" i="48"/>
  <c r="I38" i="48" s="1"/>
  <c r="D39" i="48"/>
  <c r="E39" i="48"/>
  <c r="F123" i="48" l="1"/>
  <c r="D124" i="48" s="1"/>
  <c r="I120" i="49"/>
  <c r="H120" i="49"/>
  <c r="F121" i="49"/>
  <c r="B121" i="49"/>
  <c r="F122" i="47"/>
  <c r="D123" i="47" s="1"/>
  <c r="J122" i="48"/>
  <c r="I121" i="47"/>
  <c r="J121" i="47" s="1"/>
  <c r="E124" i="48"/>
  <c r="G123" i="48"/>
  <c r="E40" i="47"/>
  <c r="F40" i="47" s="1"/>
  <c r="B40" i="47"/>
  <c r="F39" i="48"/>
  <c r="H39" i="48" s="1"/>
  <c r="B39" i="48"/>
  <c r="H39" i="47"/>
  <c r="F40" i="49"/>
  <c r="G40" i="49" s="1"/>
  <c r="B40" i="49"/>
  <c r="G39" i="47"/>
  <c r="E123" i="47" l="1"/>
  <c r="F123" i="47" s="1"/>
  <c r="G121" i="49"/>
  <c r="E122" i="49"/>
  <c r="D122" i="49"/>
  <c r="B122" i="49" s="1"/>
  <c r="J120" i="49"/>
  <c r="G122" i="47"/>
  <c r="I122" i="47" s="1"/>
  <c r="H123" i="48"/>
  <c r="I123" i="48"/>
  <c r="B124" i="48"/>
  <c r="F124" i="48"/>
  <c r="B123" i="47"/>
  <c r="I39" i="47"/>
  <c r="G40" i="47"/>
  <c r="D41" i="47"/>
  <c r="G39" i="48"/>
  <c r="I39" i="48" s="1"/>
  <c r="D40" i="48"/>
  <c r="E40" i="48"/>
  <c r="H40" i="49"/>
  <c r="I40" i="49" s="1"/>
  <c r="D41" i="49"/>
  <c r="E41" i="49"/>
  <c r="H40" i="47"/>
  <c r="F122" i="49" l="1"/>
  <c r="I121" i="49"/>
  <c r="H121" i="49"/>
  <c r="H122" i="47"/>
  <c r="J122" i="47" s="1"/>
  <c r="J123" i="48"/>
  <c r="D125" i="48"/>
  <c r="B125" i="48" s="1"/>
  <c r="G124" i="48"/>
  <c r="E125" i="48"/>
  <c r="D124" i="47"/>
  <c r="G123" i="47"/>
  <c r="E124" i="47"/>
  <c r="I40" i="47"/>
  <c r="F40" i="48"/>
  <c r="H40" i="48" s="1"/>
  <c r="B40" i="48"/>
  <c r="B41" i="49"/>
  <c r="F41" i="49"/>
  <c r="E41" i="47"/>
  <c r="F41" i="47" s="1"/>
  <c r="H41" i="47" s="1"/>
  <c r="B41" i="47"/>
  <c r="J121" i="49" l="1"/>
  <c r="E123" i="49"/>
  <c r="G122" i="49"/>
  <c r="D123" i="49"/>
  <c r="F125" i="48"/>
  <c r="E126" i="48" s="1"/>
  <c r="H124" i="48"/>
  <c r="I124" i="48"/>
  <c r="I123" i="47"/>
  <c r="H123" i="47"/>
  <c r="B124" i="47"/>
  <c r="F124" i="47"/>
  <c r="G40" i="48"/>
  <c r="I40" i="48" s="1"/>
  <c r="D41" i="48"/>
  <c r="E41" i="48"/>
  <c r="D42" i="49"/>
  <c r="E42" i="49"/>
  <c r="G41" i="47"/>
  <c r="I41" i="47" s="1"/>
  <c r="D42" i="47"/>
  <c r="H41" i="49"/>
  <c r="G41" i="49"/>
  <c r="B123" i="49" l="1"/>
  <c r="F123" i="49"/>
  <c r="H122" i="49"/>
  <c r="I122" i="49"/>
  <c r="G125" i="48"/>
  <c r="H125" i="48" s="1"/>
  <c r="D126" i="48"/>
  <c r="F126" i="48" s="1"/>
  <c r="J124" i="48"/>
  <c r="G124" i="47"/>
  <c r="D125" i="47"/>
  <c r="E125" i="47"/>
  <c r="J123" i="47"/>
  <c r="I41" i="49"/>
  <c r="F41" i="48"/>
  <c r="B41" i="48"/>
  <c r="E42" i="47"/>
  <c r="F42" i="47" s="1"/>
  <c r="B42" i="47"/>
  <c r="B42" i="49"/>
  <c r="F42" i="49"/>
  <c r="H42" i="49" s="1"/>
  <c r="J122" i="49" l="1"/>
  <c r="B126" i="48"/>
  <c r="D124" i="49"/>
  <c r="E124" i="49"/>
  <c r="G123" i="49"/>
  <c r="I125" i="48"/>
  <c r="J125" i="48" s="1"/>
  <c r="G126" i="48"/>
  <c r="E127" i="48"/>
  <c r="D127" i="48"/>
  <c r="B127" i="48" s="1"/>
  <c r="F125" i="47"/>
  <c r="B125" i="47"/>
  <c r="I124" i="47"/>
  <c r="H124" i="47"/>
  <c r="D43" i="47"/>
  <c r="B43" i="47" s="1"/>
  <c r="H42" i="47"/>
  <c r="G42" i="47"/>
  <c r="H41" i="48"/>
  <c r="D42" i="48"/>
  <c r="E42" i="48"/>
  <c r="G42" i="49"/>
  <c r="I42" i="49" s="1"/>
  <c r="D43" i="49"/>
  <c r="G41" i="48"/>
  <c r="I123" i="49" l="1"/>
  <c r="H123" i="49"/>
  <c r="B124" i="49"/>
  <c r="F124" i="49"/>
  <c r="J124" i="47"/>
  <c r="F127" i="48"/>
  <c r="I126" i="48"/>
  <c r="H126" i="48"/>
  <c r="G125" i="47"/>
  <c r="E126" i="47"/>
  <c r="D126" i="47"/>
  <c r="B126" i="47" s="1"/>
  <c r="E43" i="47"/>
  <c r="F43" i="47" s="1"/>
  <c r="D44" i="47" s="1"/>
  <c r="E44" i="47" s="1"/>
  <c r="F44" i="47" s="1"/>
  <c r="H44" i="47" s="1"/>
  <c r="I41" i="48"/>
  <c r="I42" i="47"/>
  <c r="E43" i="49"/>
  <c r="F43" i="49" s="1"/>
  <c r="H43" i="49" s="1"/>
  <c r="B43" i="49"/>
  <c r="B42" i="48"/>
  <c r="F42" i="48"/>
  <c r="D125" i="49" l="1"/>
  <c r="G124" i="49"/>
  <c r="E125" i="49"/>
  <c r="J123" i="49"/>
  <c r="J126" i="48"/>
  <c r="G127" i="48"/>
  <c r="D128" i="48"/>
  <c r="B128" i="48" s="1"/>
  <c r="E128" i="48"/>
  <c r="F126" i="47"/>
  <c r="H125" i="47"/>
  <c r="I125" i="47"/>
  <c r="H43" i="47"/>
  <c r="B44" i="47"/>
  <c r="G43" i="47"/>
  <c r="G42" i="48"/>
  <c r="D43" i="48"/>
  <c r="E43" i="48"/>
  <c r="G44" i="47"/>
  <c r="I44" i="47" s="1"/>
  <c r="D45" i="47"/>
  <c r="G43" i="49"/>
  <c r="I43" i="49" s="1"/>
  <c r="D44" i="49"/>
  <c r="E44" i="49"/>
  <c r="H42" i="48"/>
  <c r="I124" i="49" l="1"/>
  <c r="H124" i="49"/>
  <c r="B125" i="49"/>
  <c r="F125" i="49"/>
  <c r="F128" i="48"/>
  <c r="E129" i="48" s="1"/>
  <c r="J125" i="47"/>
  <c r="I127" i="48"/>
  <c r="H127" i="48"/>
  <c r="D127" i="47"/>
  <c r="E127" i="47"/>
  <c r="G126" i="47"/>
  <c r="I43" i="47"/>
  <c r="I42" i="48"/>
  <c r="B44" i="49"/>
  <c r="F44" i="49"/>
  <c r="G44" i="49" s="1"/>
  <c r="F43" i="48"/>
  <c r="G43" i="48" s="1"/>
  <c r="B43" i="48"/>
  <c r="E45" i="47"/>
  <c r="F45" i="47" s="1"/>
  <c r="B45" i="47"/>
  <c r="D126" i="49" l="1"/>
  <c r="E126" i="49"/>
  <c r="G125" i="49"/>
  <c r="D129" i="48"/>
  <c r="F129" i="48" s="1"/>
  <c r="G128" i="48"/>
  <c r="H128" i="48" s="1"/>
  <c r="J124" i="49"/>
  <c r="J127" i="48"/>
  <c r="B129" i="48"/>
  <c r="H126" i="47"/>
  <c r="I126" i="47"/>
  <c r="B127" i="47"/>
  <c r="F127" i="47"/>
  <c r="G45" i="47"/>
  <c r="D46" i="47"/>
  <c r="H45" i="47"/>
  <c r="H43" i="48"/>
  <c r="I43" i="48" s="1"/>
  <c r="D44" i="48"/>
  <c r="E44" i="48"/>
  <c r="H44" i="49"/>
  <c r="I44" i="49" s="1"/>
  <c r="D45" i="49"/>
  <c r="E45" i="49"/>
  <c r="I128" i="48" l="1"/>
  <c r="H125" i="49"/>
  <c r="I125" i="49"/>
  <c r="J125" i="49" s="1"/>
  <c r="F126" i="49"/>
  <c r="B126" i="49"/>
  <c r="J126" i="47"/>
  <c r="J128" i="48"/>
  <c r="D130" i="48"/>
  <c r="E130" i="48"/>
  <c r="G129" i="48"/>
  <c r="D128" i="47"/>
  <c r="G127" i="47"/>
  <c r="E128" i="47"/>
  <c r="I45" i="47"/>
  <c r="B45" i="49"/>
  <c r="F45" i="49"/>
  <c r="G45" i="49" s="1"/>
  <c r="F44" i="48"/>
  <c r="B44" i="48"/>
  <c r="E46" i="47"/>
  <c r="F46" i="47" s="1"/>
  <c r="B46" i="47"/>
  <c r="G126" i="49" l="1"/>
  <c r="D127" i="49"/>
  <c r="E127" i="49"/>
  <c r="I129" i="48"/>
  <c r="H129" i="48"/>
  <c r="B130" i="48"/>
  <c r="F130" i="48"/>
  <c r="H127" i="47"/>
  <c r="I127" i="47"/>
  <c r="B128" i="47"/>
  <c r="F128" i="47"/>
  <c r="H45" i="49"/>
  <c r="I45" i="49" s="1"/>
  <c r="H46" i="47"/>
  <c r="D47" i="47"/>
  <c r="G46" i="47"/>
  <c r="D45" i="48"/>
  <c r="E45" i="48"/>
  <c r="G44" i="48"/>
  <c r="D46" i="49"/>
  <c r="E46" i="49"/>
  <c r="H44" i="48"/>
  <c r="F127" i="49" l="1"/>
  <c r="B127" i="49"/>
  <c r="I126" i="49"/>
  <c r="H126" i="49"/>
  <c r="J129" i="48"/>
  <c r="G130" i="48"/>
  <c r="D131" i="48"/>
  <c r="B131" i="48" s="1"/>
  <c r="E131" i="48"/>
  <c r="J127" i="47"/>
  <c r="D129" i="47"/>
  <c r="B129" i="47" s="1"/>
  <c r="G128" i="47"/>
  <c r="E129" i="47"/>
  <c r="I44" i="48"/>
  <c r="I46" i="47"/>
  <c r="B45" i="48"/>
  <c r="F45" i="48"/>
  <c r="H45" i="48" s="1"/>
  <c r="B46" i="49"/>
  <c r="F46" i="49"/>
  <c r="H46" i="49" s="1"/>
  <c r="E47" i="47"/>
  <c r="F47" i="47" s="1"/>
  <c r="B47" i="47"/>
  <c r="J126" i="49" l="1"/>
  <c r="G127" i="49"/>
  <c r="E128" i="49"/>
  <c r="D128" i="49"/>
  <c r="F131" i="48"/>
  <c r="H130" i="48"/>
  <c r="I130" i="48"/>
  <c r="F129" i="47"/>
  <c r="H128" i="47"/>
  <c r="I128" i="47"/>
  <c r="H47" i="47"/>
  <c r="D48" i="47"/>
  <c r="G47" i="47"/>
  <c r="G46" i="49"/>
  <c r="I46" i="49" s="1"/>
  <c r="D47" i="49"/>
  <c r="E47" i="49"/>
  <c r="G45" i="48"/>
  <c r="I45" i="48" s="1"/>
  <c r="D46" i="48"/>
  <c r="E46" i="48"/>
  <c r="F128" i="49" l="1"/>
  <c r="B128" i="49"/>
  <c r="I127" i="49"/>
  <c r="H127" i="49"/>
  <c r="J130" i="48"/>
  <c r="J155" i="48" s="1"/>
  <c r="J128" i="47"/>
  <c r="I47" i="47"/>
  <c r="D132" i="48"/>
  <c r="E132" i="48"/>
  <c r="G131" i="48"/>
  <c r="G129" i="47"/>
  <c r="D130" i="47"/>
  <c r="B130" i="47" s="1"/>
  <c r="E130" i="47"/>
  <c r="B46" i="48"/>
  <c r="F46" i="48"/>
  <c r="E48" i="47"/>
  <c r="F48" i="47" s="1"/>
  <c r="H48" i="47" s="1"/>
  <c r="B48" i="47"/>
  <c r="B47" i="49"/>
  <c r="F47" i="49"/>
  <c r="D48" i="49" s="1"/>
  <c r="J127" i="49" l="1"/>
  <c r="D129" i="49"/>
  <c r="G128" i="49"/>
  <c r="E129" i="49"/>
  <c r="H131" i="48"/>
  <c r="I131" i="48"/>
  <c r="B132" i="48"/>
  <c r="F132" i="48"/>
  <c r="F130" i="47"/>
  <c r="I129" i="47"/>
  <c r="H129" i="47"/>
  <c r="H47" i="49"/>
  <c r="E48" i="49"/>
  <c r="F48" i="49" s="1"/>
  <c r="B48" i="49"/>
  <c r="H46" i="48"/>
  <c r="D47" i="48"/>
  <c r="E47" i="48"/>
  <c r="G48" i="47"/>
  <c r="I48" i="47" s="1"/>
  <c r="D49" i="47"/>
  <c r="G47" i="49"/>
  <c r="G46" i="48"/>
  <c r="I128" i="49" l="1"/>
  <c r="H128" i="49"/>
  <c r="F129" i="49"/>
  <c r="B129" i="49"/>
  <c r="J129" i="47"/>
  <c r="D133" i="48"/>
  <c r="G132" i="48"/>
  <c r="E133" i="48"/>
  <c r="G130" i="47"/>
  <c r="D131" i="47"/>
  <c r="E131" i="47"/>
  <c r="I47" i="49"/>
  <c r="D49" i="49"/>
  <c r="B49" i="49" s="1"/>
  <c r="H48" i="49"/>
  <c r="F47" i="48"/>
  <c r="H47" i="48" s="1"/>
  <c r="B47" i="48"/>
  <c r="G48" i="49"/>
  <c r="E49" i="47"/>
  <c r="F49" i="47" s="1"/>
  <c r="H49" i="47" s="1"/>
  <c r="B49" i="47"/>
  <c r="E49" i="49"/>
  <c r="I46" i="48"/>
  <c r="G129" i="49" l="1"/>
  <c r="D130" i="49"/>
  <c r="E130" i="49"/>
  <c r="J128" i="49"/>
  <c r="B133" i="48"/>
  <c r="F133" i="48"/>
  <c r="H132" i="48"/>
  <c r="I132" i="48"/>
  <c r="B131" i="47"/>
  <c r="F131" i="47"/>
  <c r="H130" i="47"/>
  <c r="I130" i="47"/>
  <c r="I48" i="49"/>
  <c r="F49" i="49"/>
  <c r="G49" i="49" s="1"/>
  <c r="G47" i="48"/>
  <c r="I47" i="48" s="1"/>
  <c r="G49" i="47"/>
  <c r="I49" i="47" s="1"/>
  <c r="D50" i="47"/>
  <c r="D48" i="48"/>
  <c r="E48" i="48"/>
  <c r="B130" i="49" l="1"/>
  <c r="F130" i="49"/>
  <c r="I129" i="49"/>
  <c r="H129" i="49"/>
  <c r="J130" i="47"/>
  <c r="J155" i="47" s="1"/>
  <c r="G133" i="48"/>
  <c r="E134" i="48"/>
  <c r="D134" i="48"/>
  <c r="B134" i="48" s="1"/>
  <c r="D132" i="47"/>
  <c r="B132" i="47" s="1"/>
  <c r="G131" i="47"/>
  <c r="E132" i="47"/>
  <c r="D50" i="49"/>
  <c r="B50" i="49" s="1"/>
  <c r="H49" i="49"/>
  <c r="I49" i="49" s="1"/>
  <c r="E50" i="49"/>
  <c r="B48" i="48"/>
  <c r="F48" i="48"/>
  <c r="G48" i="48" s="1"/>
  <c r="E50" i="47"/>
  <c r="F50" i="47" s="1"/>
  <c r="B50" i="47"/>
  <c r="J129" i="49" l="1"/>
  <c r="G130" i="49"/>
  <c r="D131" i="49"/>
  <c r="E131" i="49"/>
  <c r="H133" i="48"/>
  <c r="I133" i="48"/>
  <c r="F134" i="48"/>
  <c r="F132" i="47"/>
  <c r="E133" i="47" s="1"/>
  <c r="H131" i="47"/>
  <c r="I131" i="47"/>
  <c r="F50" i="49"/>
  <c r="H50" i="49" s="1"/>
  <c r="H50" i="47"/>
  <c r="D51" i="47"/>
  <c r="H48" i="48"/>
  <c r="I48" i="48" s="1"/>
  <c r="D49" i="48"/>
  <c r="E49" i="48"/>
  <c r="G50" i="47"/>
  <c r="B131" i="49" l="1"/>
  <c r="F131" i="49"/>
  <c r="I130" i="49"/>
  <c r="H130" i="49"/>
  <c r="G132" i="47"/>
  <c r="I132" i="47" s="1"/>
  <c r="D133" i="47"/>
  <c r="B133" i="47" s="1"/>
  <c r="E135" i="48"/>
  <c r="G134" i="48"/>
  <c r="D135" i="48"/>
  <c r="B135" i="48" s="1"/>
  <c r="E51" i="49"/>
  <c r="D51" i="49"/>
  <c r="B51" i="49" s="1"/>
  <c r="G50" i="49"/>
  <c r="I50" i="49" s="1"/>
  <c r="E51" i="47"/>
  <c r="F51" i="47" s="1"/>
  <c r="H51" i="47" s="1"/>
  <c r="B51" i="47"/>
  <c r="I50" i="47"/>
  <c r="F49" i="48"/>
  <c r="G49" i="48" s="1"/>
  <c r="B49" i="48"/>
  <c r="H132" i="47" l="1"/>
  <c r="J130" i="49"/>
  <c r="J155" i="49" s="1"/>
  <c r="E132" i="49"/>
  <c r="D132" i="49"/>
  <c r="G131" i="49"/>
  <c r="F133" i="47"/>
  <c r="E134" i="47" s="1"/>
  <c r="I134" i="48"/>
  <c r="H134" i="48"/>
  <c r="F135" i="48"/>
  <c r="F51" i="49"/>
  <c r="G51" i="49" s="1"/>
  <c r="G51" i="47"/>
  <c r="I51" i="47" s="1"/>
  <c r="D52" i="47"/>
  <c r="H49" i="48"/>
  <c r="I49" i="48" s="1"/>
  <c r="D50" i="48"/>
  <c r="E50" i="48"/>
  <c r="H131" i="49" l="1"/>
  <c r="I131" i="49"/>
  <c r="F132" i="49"/>
  <c r="B132" i="49"/>
  <c r="G133" i="47"/>
  <c r="I133" i="47" s="1"/>
  <c r="D134" i="47"/>
  <c r="B134" i="47" s="1"/>
  <c r="H51" i="49"/>
  <c r="I51" i="49" s="1"/>
  <c r="G135" i="48"/>
  <c r="E136" i="48"/>
  <c r="D136" i="48"/>
  <c r="E52" i="49"/>
  <c r="D52" i="49"/>
  <c r="E52" i="47"/>
  <c r="F52" i="47" s="1"/>
  <c r="B52" i="47"/>
  <c r="F50" i="48"/>
  <c r="G50" i="48" s="1"/>
  <c r="B50" i="48"/>
  <c r="F134" i="47" l="1"/>
  <c r="G134" i="47" s="1"/>
  <c r="D133" i="49"/>
  <c r="E133" i="49"/>
  <c r="G132" i="49"/>
  <c r="H133" i="47"/>
  <c r="F52" i="49"/>
  <c r="G52" i="49" s="1"/>
  <c r="B136" i="48"/>
  <c r="F136" i="48"/>
  <c r="I135" i="48"/>
  <c r="H135" i="48"/>
  <c r="B52" i="49"/>
  <c r="G52" i="47"/>
  <c r="D53" i="47"/>
  <c r="H52" i="47"/>
  <c r="H50" i="48"/>
  <c r="I50" i="48" s="1"/>
  <c r="D51" i="48"/>
  <c r="E51" i="48"/>
  <c r="D135" i="47" l="1"/>
  <c r="B135" i="47" s="1"/>
  <c r="E135" i="47"/>
  <c r="I132" i="49"/>
  <c r="H132" i="49"/>
  <c r="F133" i="49"/>
  <c r="B133" i="49"/>
  <c r="E53" i="49"/>
  <c r="D53" i="49"/>
  <c r="H52" i="49"/>
  <c r="I52" i="49" s="1"/>
  <c r="D137" i="48"/>
  <c r="B137" i="48" s="1"/>
  <c r="G136" i="48"/>
  <c r="E137" i="48"/>
  <c r="I134" i="47"/>
  <c r="H134" i="47"/>
  <c r="I52" i="47"/>
  <c r="F51" i="48"/>
  <c r="G51" i="48" s="1"/>
  <c r="B51" i="48"/>
  <c r="E53" i="47"/>
  <c r="F53" i="47" s="1"/>
  <c r="B53" i="47"/>
  <c r="F53" i="49" l="1"/>
  <c r="H53" i="49" s="1"/>
  <c r="F135" i="47"/>
  <c r="E136" i="47" s="1"/>
  <c r="D134" i="49"/>
  <c r="G133" i="49"/>
  <c r="E134" i="49"/>
  <c r="B53" i="49"/>
  <c r="F137" i="48"/>
  <c r="G137" i="48" s="1"/>
  <c r="H136" i="48"/>
  <c r="I136" i="48"/>
  <c r="G135" i="47"/>
  <c r="H53" i="47"/>
  <c r="D54" i="47"/>
  <c r="G53" i="47"/>
  <c r="D54" i="49"/>
  <c r="E54" i="49"/>
  <c r="G53" i="49"/>
  <c r="H51" i="48"/>
  <c r="I51" i="48" s="1"/>
  <c r="D52" i="48"/>
  <c r="E52" i="48"/>
  <c r="D136" i="47" l="1"/>
  <c r="F136" i="47" s="1"/>
  <c r="H133" i="49"/>
  <c r="I133" i="49"/>
  <c r="B134" i="49"/>
  <c r="F134" i="49"/>
  <c r="E138" i="48"/>
  <c r="D138" i="48"/>
  <c r="H137" i="48"/>
  <c r="I137" i="48"/>
  <c r="H135" i="47"/>
  <c r="I135" i="47"/>
  <c r="B52" i="48"/>
  <c r="F52" i="48"/>
  <c r="G52" i="48" s="1"/>
  <c r="I53" i="47"/>
  <c r="E54" i="47"/>
  <c r="F54" i="47" s="1"/>
  <c r="G54" i="47" s="1"/>
  <c r="B54" i="47"/>
  <c r="F54" i="49"/>
  <c r="G54" i="49" s="1"/>
  <c r="B54" i="49"/>
  <c r="I53" i="49"/>
  <c r="B136" i="47" l="1"/>
  <c r="F138" i="48"/>
  <c r="D139" i="48" s="1"/>
  <c r="B138" i="48"/>
  <c r="G134" i="49"/>
  <c r="E135" i="49"/>
  <c r="D135" i="49"/>
  <c r="G138" i="48"/>
  <c r="E139" i="48"/>
  <c r="E137" i="47"/>
  <c r="D137" i="47"/>
  <c r="G136" i="47"/>
  <c r="H54" i="49"/>
  <c r="I54" i="49" s="1"/>
  <c r="D55" i="49"/>
  <c r="E55" i="49"/>
  <c r="H52" i="48"/>
  <c r="I52" i="48" s="1"/>
  <c r="D53" i="48"/>
  <c r="E53" i="48"/>
  <c r="H54" i="47"/>
  <c r="I54" i="47" s="1"/>
  <c r="D55" i="47"/>
  <c r="B135" i="49" l="1"/>
  <c r="F135" i="49"/>
  <c r="I134" i="49"/>
  <c r="H134" i="49"/>
  <c r="B139" i="48"/>
  <c r="F139" i="48"/>
  <c r="I138" i="48"/>
  <c r="H138" i="48"/>
  <c r="H136" i="47"/>
  <c r="I136" i="47"/>
  <c r="F137" i="47"/>
  <c r="B137" i="47"/>
  <c r="B53" i="48"/>
  <c r="F53" i="48"/>
  <c r="G53" i="48" s="1"/>
  <c r="F55" i="49"/>
  <c r="G55" i="49" s="1"/>
  <c r="B55" i="49"/>
  <c r="E55" i="47"/>
  <c r="F55" i="47" s="1"/>
  <c r="B55" i="47"/>
  <c r="D136" i="49" l="1"/>
  <c r="E136" i="49"/>
  <c r="G135" i="49"/>
  <c r="G139" i="48"/>
  <c r="E140" i="48"/>
  <c r="D140" i="48"/>
  <c r="G137" i="47"/>
  <c r="D138" i="47"/>
  <c r="B138" i="47" s="1"/>
  <c r="E138" i="47"/>
  <c r="D56" i="47"/>
  <c r="G55" i="47"/>
  <c r="H55" i="47"/>
  <c r="H55" i="49"/>
  <c r="I55" i="49" s="1"/>
  <c r="D56" i="49"/>
  <c r="E56" i="49"/>
  <c r="H53" i="48"/>
  <c r="I53" i="48" s="1"/>
  <c r="D54" i="48"/>
  <c r="E54" i="48"/>
  <c r="H135" i="49" l="1"/>
  <c r="I135" i="49"/>
  <c r="B136" i="49"/>
  <c r="F136" i="49"/>
  <c r="F138" i="47"/>
  <c r="G138" i="47" s="1"/>
  <c r="B140" i="48"/>
  <c r="F140" i="48"/>
  <c r="H139" i="48"/>
  <c r="I139" i="48"/>
  <c r="H137" i="47"/>
  <c r="I137" i="47"/>
  <c r="I55" i="47"/>
  <c r="E56" i="47"/>
  <c r="F56" i="47" s="1"/>
  <c r="B56" i="47"/>
  <c r="B54" i="48"/>
  <c r="F54" i="48"/>
  <c r="G54" i="48" s="1"/>
  <c r="F56" i="49"/>
  <c r="G56" i="49" s="1"/>
  <c r="B56" i="49"/>
  <c r="E139" i="47" l="1"/>
  <c r="D139" i="47"/>
  <c r="B139" i="47" s="1"/>
  <c r="G136" i="49"/>
  <c r="E137" i="49"/>
  <c r="D137" i="49"/>
  <c r="D141" i="48"/>
  <c r="B141" i="48" s="1"/>
  <c r="G140" i="48"/>
  <c r="H138" i="47"/>
  <c r="I138" i="47"/>
  <c r="G56" i="47"/>
  <c r="D57" i="47"/>
  <c r="H56" i="47"/>
  <c r="H56" i="49"/>
  <c r="I56" i="49" s="1"/>
  <c r="D57" i="49"/>
  <c r="E57" i="49"/>
  <c r="H54" i="48"/>
  <c r="I54" i="48" s="1"/>
  <c r="D55" i="48"/>
  <c r="E55" i="48"/>
  <c r="F139" i="47" l="1"/>
  <c r="D140" i="47" s="1"/>
  <c r="B140" i="47" s="1"/>
  <c r="B137" i="49"/>
  <c r="F137" i="49"/>
  <c r="E141" i="48"/>
  <c r="F141" i="48" s="1"/>
  <c r="G141" i="48" s="1"/>
  <c r="H136" i="49"/>
  <c r="I136" i="49"/>
  <c r="I140" i="48"/>
  <c r="H140" i="48"/>
  <c r="I56" i="47"/>
  <c r="F55" i="48"/>
  <c r="H55" i="48" s="1"/>
  <c r="B55" i="48"/>
  <c r="E57" i="47"/>
  <c r="F57" i="47" s="1"/>
  <c r="B57" i="47"/>
  <c r="B57" i="49"/>
  <c r="F57" i="49"/>
  <c r="H57" i="49" s="1"/>
  <c r="E140" i="47" l="1"/>
  <c r="F140" i="47" s="1"/>
  <c r="G140" i="47" s="1"/>
  <c r="G139" i="47"/>
  <c r="H139" i="47" s="1"/>
  <c r="D142" i="48"/>
  <c r="B142" i="48" s="1"/>
  <c r="G137" i="49"/>
  <c r="E138" i="49"/>
  <c r="D138" i="49"/>
  <c r="I139" i="47"/>
  <c r="I141" i="48"/>
  <c r="H141" i="48"/>
  <c r="G55" i="48"/>
  <c r="I55" i="48" s="1"/>
  <c r="D58" i="47"/>
  <c r="H57" i="47"/>
  <c r="G57" i="47"/>
  <c r="G57" i="49"/>
  <c r="I57" i="49" s="1"/>
  <c r="D58" i="49"/>
  <c r="D56" i="48"/>
  <c r="E56" i="48"/>
  <c r="E142" i="48" l="1"/>
  <c r="F142" i="48" s="1"/>
  <c r="D141" i="47"/>
  <c r="B141" i="47" s="1"/>
  <c r="E141" i="47"/>
  <c r="F141" i="47" s="1"/>
  <c r="B138" i="49"/>
  <c r="F138" i="49"/>
  <c r="H137" i="49"/>
  <c r="I137" i="49"/>
  <c r="G142" i="48"/>
  <c r="D143" i="48"/>
  <c r="B143" i="48" s="1"/>
  <c r="I140" i="47"/>
  <c r="H140" i="47"/>
  <c r="E58" i="49"/>
  <c r="F58" i="49" s="1"/>
  <c r="B58" i="49"/>
  <c r="B56" i="48"/>
  <c r="F56" i="48"/>
  <c r="G56" i="48" s="1"/>
  <c r="I57" i="47"/>
  <c r="E58" i="47"/>
  <c r="F58" i="47" s="1"/>
  <c r="B58" i="47"/>
  <c r="E139" i="49" l="1"/>
  <c r="D139" i="49"/>
  <c r="G138" i="49"/>
  <c r="E143" i="48"/>
  <c r="F143" i="48" s="1"/>
  <c r="I142" i="48"/>
  <c r="H142" i="48"/>
  <c r="D142" i="47"/>
  <c r="B142" i="47" s="1"/>
  <c r="G141" i="47"/>
  <c r="H58" i="47"/>
  <c r="D59" i="47"/>
  <c r="G58" i="47"/>
  <c r="D59" i="49"/>
  <c r="G58" i="49"/>
  <c r="H58" i="49"/>
  <c r="H56" i="48"/>
  <c r="I56" i="48" s="1"/>
  <c r="D57" i="48"/>
  <c r="E57" i="48"/>
  <c r="I138" i="49" l="1"/>
  <c r="H138" i="49"/>
  <c r="F139" i="49"/>
  <c r="B139" i="49"/>
  <c r="E142" i="47"/>
  <c r="F142" i="47" s="1"/>
  <c r="G142" i="47" s="1"/>
  <c r="G143" i="48"/>
  <c r="D144" i="48"/>
  <c r="B144" i="48" s="1"/>
  <c r="I141" i="47"/>
  <c r="H141" i="47"/>
  <c r="I58" i="47"/>
  <c r="I58" i="49"/>
  <c r="E59" i="49"/>
  <c r="F59" i="49" s="1"/>
  <c r="G59" i="49" s="1"/>
  <c r="B59" i="49"/>
  <c r="B57" i="48"/>
  <c r="F57" i="48"/>
  <c r="D58" i="48" s="1"/>
  <c r="E59" i="47"/>
  <c r="F59" i="47" s="1"/>
  <c r="G59" i="47" s="1"/>
  <c r="B59" i="47"/>
  <c r="D140" i="49" l="1"/>
  <c r="G139" i="49"/>
  <c r="E140" i="49"/>
  <c r="I143" i="48"/>
  <c r="H143" i="48"/>
  <c r="D143" i="47"/>
  <c r="B143" i="47" s="1"/>
  <c r="E144" i="48"/>
  <c r="F144" i="48" s="1"/>
  <c r="I142" i="47"/>
  <c r="H142" i="47"/>
  <c r="G57" i="48"/>
  <c r="H57" i="48"/>
  <c r="E58" i="48"/>
  <c r="F58" i="48" s="1"/>
  <c r="B58" i="48"/>
  <c r="H59" i="47"/>
  <c r="I59" i="47" s="1"/>
  <c r="D60" i="47"/>
  <c r="H59" i="49"/>
  <c r="I59" i="49" s="1"/>
  <c r="D60" i="49"/>
  <c r="I139" i="49" l="1"/>
  <c r="H139" i="49"/>
  <c r="B140" i="49"/>
  <c r="F140" i="49"/>
  <c r="G144" i="48"/>
  <c r="D145" i="48"/>
  <c r="B145" i="48" s="1"/>
  <c r="E143" i="47"/>
  <c r="F143" i="47" s="1"/>
  <c r="I57" i="48"/>
  <c r="H58" i="48"/>
  <c r="D59" i="48"/>
  <c r="E59" i="48" s="1"/>
  <c r="F59" i="48" s="1"/>
  <c r="D60" i="48" s="1"/>
  <c r="G58" i="48"/>
  <c r="B60" i="47"/>
  <c r="E60" i="49"/>
  <c r="F60" i="49" s="1"/>
  <c r="G60" i="49" s="1"/>
  <c r="B60" i="49"/>
  <c r="E60" i="47"/>
  <c r="F60" i="47" s="1"/>
  <c r="D61" i="47" s="1"/>
  <c r="G140" i="49" l="1"/>
  <c r="D141" i="49"/>
  <c r="B141" i="49" s="1"/>
  <c r="G143" i="47"/>
  <c r="D144" i="47"/>
  <c r="B144" i="47" s="1"/>
  <c r="E145" i="48"/>
  <c r="F145" i="48" s="1"/>
  <c r="I144" i="48"/>
  <c r="H144" i="48"/>
  <c r="G60" i="47"/>
  <c r="H60" i="47"/>
  <c r="B59" i="48"/>
  <c r="H59" i="48"/>
  <c r="G59" i="48"/>
  <c r="H60" i="49"/>
  <c r="I60" i="49" s="1"/>
  <c r="D61" i="49"/>
  <c r="E61" i="49" s="1"/>
  <c r="F61" i="49" s="1"/>
  <c r="D62" i="49" s="1"/>
  <c r="E61" i="47"/>
  <c r="F61" i="47" s="1"/>
  <c r="B61" i="47"/>
  <c r="I58" i="48"/>
  <c r="E60" i="48"/>
  <c r="F60" i="48" s="1"/>
  <c r="B60" i="48"/>
  <c r="E141" i="49" l="1"/>
  <c r="F141" i="49" s="1"/>
  <c r="G141" i="49" s="1"/>
  <c r="I140" i="49"/>
  <c r="H140" i="49"/>
  <c r="E144" i="47"/>
  <c r="F144" i="47" s="1"/>
  <c r="D145" i="47" s="1"/>
  <c r="B145" i="47" s="1"/>
  <c r="G145" i="48"/>
  <c r="D146" i="48"/>
  <c r="B146" i="48" s="1"/>
  <c r="H143" i="47"/>
  <c r="I143" i="47"/>
  <c r="I60" i="47"/>
  <c r="I59" i="48"/>
  <c r="D61" i="48"/>
  <c r="E61" i="48" s="1"/>
  <c r="G60" i="48"/>
  <c r="H61" i="47"/>
  <c r="D62" i="47"/>
  <c r="G61" i="47"/>
  <c r="E62" i="49"/>
  <c r="F62" i="49" s="1"/>
  <c r="B62" i="49"/>
  <c r="B61" i="49"/>
  <c r="G61" i="49"/>
  <c r="H61" i="49"/>
  <c r="H60" i="48"/>
  <c r="D142" i="49" l="1"/>
  <c r="B142" i="49" s="1"/>
  <c r="I141" i="49"/>
  <c r="H141" i="49"/>
  <c r="G144" i="47"/>
  <c r="I144" i="47" s="1"/>
  <c r="E145" i="47"/>
  <c r="F145" i="47" s="1"/>
  <c r="E146" i="48"/>
  <c r="F146" i="48" s="1"/>
  <c r="H145" i="48"/>
  <c r="I145" i="48"/>
  <c r="I61" i="47"/>
  <c r="I61" i="49"/>
  <c r="I60" i="48"/>
  <c r="D63" i="49"/>
  <c r="B63" i="49" s="1"/>
  <c r="G62" i="49"/>
  <c r="H62" i="49"/>
  <c r="B61" i="48"/>
  <c r="F61" i="48"/>
  <c r="H61" i="48" s="1"/>
  <c r="E62" i="47"/>
  <c r="F62" i="47" s="1"/>
  <c r="G62" i="47" s="1"/>
  <c r="B62" i="47"/>
  <c r="E142" i="49" l="1"/>
  <c r="F142" i="49" s="1"/>
  <c r="G142" i="49" s="1"/>
  <c r="I142" i="49" s="1"/>
  <c r="H144" i="47"/>
  <c r="G146" i="48"/>
  <c r="D147" i="48"/>
  <c r="B147" i="48" s="1"/>
  <c r="D146" i="47"/>
  <c r="B146" i="47" s="1"/>
  <c r="G145" i="47"/>
  <c r="G61" i="48"/>
  <c r="I61" i="48" s="1"/>
  <c r="E63" i="49"/>
  <c r="F63" i="49" s="1"/>
  <c r="G63" i="49" s="1"/>
  <c r="I62" i="49"/>
  <c r="D62" i="48"/>
  <c r="E62" i="48" s="1"/>
  <c r="F62" i="48" s="1"/>
  <c r="H62" i="47"/>
  <c r="I62" i="47" s="1"/>
  <c r="D63" i="47"/>
  <c r="H142" i="49" l="1"/>
  <c r="D143" i="49"/>
  <c r="B143" i="49" s="1"/>
  <c r="E147" i="48"/>
  <c r="F147" i="48" s="1"/>
  <c r="D148" i="48" s="1"/>
  <c r="B148" i="48" s="1"/>
  <c r="E146" i="47"/>
  <c r="F146" i="47" s="1"/>
  <c r="G146" i="47" s="1"/>
  <c r="H145" i="47"/>
  <c r="I145" i="47"/>
  <c r="I146" i="48"/>
  <c r="H146" i="48"/>
  <c r="D64" i="49"/>
  <c r="E64" i="49" s="1"/>
  <c r="F64" i="49" s="1"/>
  <c r="D65" i="49" s="1"/>
  <c r="B65" i="49" s="1"/>
  <c r="H63" i="49"/>
  <c r="I63" i="49" s="1"/>
  <c r="D63" i="48"/>
  <c r="E63" i="48" s="1"/>
  <c r="G62" i="48"/>
  <c r="H62" i="48"/>
  <c r="B62" i="48"/>
  <c r="E63" i="47"/>
  <c r="F63" i="47" s="1"/>
  <c r="G63" i="47" s="1"/>
  <c r="B63" i="47"/>
  <c r="E143" i="49" l="1"/>
  <c r="F143" i="49" s="1"/>
  <c r="D144" i="49" s="1"/>
  <c r="B144" i="49" s="1"/>
  <c r="D147" i="47"/>
  <c r="B147" i="47" s="1"/>
  <c r="G147" i="48"/>
  <c r="I147" i="48" s="1"/>
  <c r="H146" i="47"/>
  <c r="I146" i="47"/>
  <c r="E148" i="48"/>
  <c r="F148" i="48" s="1"/>
  <c r="G64" i="49"/>
  <c r="H64" i="49"/>
  <c r="B64" i="49"/>
  <c r="E65" i="49"/>
  <c r="F65" i="49" s="1"/>
  <c r="G65" i="49" s="1"/>
  <c r="I62" i="48"/>
  <c r="F63" i="48"/>
  <c r="B63" i="48"/>
  <c r="H63" i="47"/>
  <c r="I63" i="47" s="1"/>
  <c r="D64" i="47"/>
  <c r="G143" i="49" l="1"/>
  <c r="I143" i="49" s="1"/>
  <c r="E144" i="49"/>
  <c r="F144" i="49" s="1"/>
  <c r="G144" i="49" s="1"/>
  <c r="E147" i="47"/>
  <c r="F147" i="47" s="1"/>
  <c r="D148" i="47" s="1"/>
  <c r="B148" i="47" s="1"/>
  <c r="H147" i="48"/>
  <c r="I64" i="49"/>
  <c r="D149" i="48"/>
  <c r="B149" i="48" s="1"/>
  <c r="G148" i="48"/>
  <c r="H65" i="49"/>
  <c r="I65" i="49" s="1"/>
  <c r="D66" i="49"/>
  <c r="E66" i="49" s="1"/>
  <c r="D64" i="48"/>
  <c r="G63" i="48"/>
  <c r="H63" i="48"/>
  <c r="E64" i="47"/>
  <c r="F64" i="47" s="1"/>
  <c r="B64" i="47"/>
  <c r="H143" i="49" l="1"/>
  <c r="D145" i="49"/>
  <c r="B145" i="49" s="1"/>
  <c r="G147" i="47"/>
  <c r="H147" i="47" s="1"/>
  <c r="H144" i="49"/>
  <c r="I144" i="49"/>
  <c r="E149" i="48"/>
  <c r="F149" i="48" s="1"/>
  <c r="G149" i="48" s="1"/>
  <c r="E148" i="47"/>
  <c r="F148" i="47" s="1"/>
  <c r="H148" i="48"/>
  <c r="I148" i="48"/>
  <c r="B66" i="49"/>
  <c r="F66" i="49"/>
  <c r="H66" i="49" s="1"/>
  <c r="I63" i="48"/>
  <c r="E64" i="48"/>
  <c r="F64" i="48" s="1"/>
  <c r="B64" i="48"/>
  <c r="H64" i="47"/>
  <c r="D65" i="47"/>
  <c r="G64" i="47"/>
  <c r="I147" i="47" l="1"/>
  <c r="E145" i="49"/>
  <c r="F145" i="49" s="1"/>
  <c r="D146" i="49" s="1"/>
  <c r="D150" i="48"/>
  <c r="B150" i="48" s="1"/>
  <c r="D149" i="47"/>
  <c r="B149" i="47" s="1"/>
  <c r="G148" i="47"/>
  <c r="H149" i="48"/>
  <c r="I149" i="48"/>
  <c r="D67" i="49"/>
  <c r="E67" i="49" s="1"/>
  <c r="F67" i="49" s="1"/>
  <c r="D68" i="49" s="1"/>
  <c r="B68" i="49" s="1"/>
  <c r="I64" i="47"/>
  <c r="G66" i="49"/>
  <c r="I66" i="49" s="1"/>
  <c r="G64" i="48"/>
  <c r="H64" i="48"/>
  <c r="D65" i="48"/>
  <c r="B65" i="48" s="1"/>
  <c r="E65" i="47"/>
  <c r="F65" i="47" s="1"/>
  <c r="B65" i="47"/>
  <c r="G145" i="49" l="1"/>
  <c r="H145" i="49" s="1"/>
  <c r="E150" i="48"/>
  <c r="F150" i="48" s="1"/>
  <c r="D151" i="48" s="1"/>
  <c r="B151" i="48" s="1"/>
  <c r="B146" i="49"/>
  <c r="E146" i="49"/>
  <c r="F146" i="49" s="1"/>
  <c r="E149" i="47"/>
  <c r="F149" i="47" s="1"/>
  <c r="D150" i="47" s="1"/>
  <c r="B150" i="47" s="1"/>
  <c r="H148" i="47"/>
  <c r="I148" i="47"/>
  <c r="B67" i="49"/>
  <c r="E68" i="49"/>
  <c r="F68" i="49" s="1"/>
  <c r="H68" i="49" s="1"/>
  <c r="G67" i="49"/>
  <c r="H67" i="49"/>
  <c r="I64" i="48"/>
  <c r="E65" i="48"/>
  <c r="F65" i="48" s="1"/>
  <c r="G65" i="47"/>
  <c r="D66" i="47"/>
  <c r="E66" i="47" s="1"/>
  <c r="F66" i="47" s="1"/>
  <c r="D67" i="47" s="1"/>
  <c r="H65" i="47"/>
  <c r="I145" i="49" l="1"/>
  <c r="E151" i="48"/>
  <c r="F151" i="48" s="1"/>
  <c r="G151" i="48" s="1"/>
  <c r="H151" i="48" s="1"/>
  <c r="G150" i="48"/>
  <c r="I150" i="48" s="1"/>
  <c r="G146" i="49"/>
  <c r="D147" i="49"/>
  <c r="B147" i="49" s="1"/>
  <c r="E150" i="47"/>
  <c r="F150" i="47" s="1"/>
  <c r="D151" i="47" s="1"/>
  <c r="B151" i="47" s="1"/>
  <c r="G149" i="47"/>
  <c r="I149" i="47" s="1"/>
  <c r="D69" i="49"/>
  <c r="B69" i="49" s="1"/>
  <c r="I67" i="49"/>
  <c r="I151" i="48"/>
  <c r="G68" i="49"/>
  <c r="I68" i="49" s="1"/>
  <c r="D66" i="48"/>
  <c r="H65" i="48"/>
  <c r="G65" i="48"/>
  <c r="I65" i="47"/>
  <c r="E67" i="47"/>
  <c r="F67" i="47" s="1"/>
  <c r="B67" i="47"/>
  <c r="B66" i="47"/>
  <c r="G66" i="47"/>
  <c r="H66" i="47"/>
  <c r="D152" i="48" l="1"/>
  <c r="B152" i="48" s="1"/>
  <c r="H150" i="48"/>
  <c r="E147" i="49"/>
  <c r="F147" i="49" s="1"/>
  <c r="D148" i="49" s="1"/>
  <c r="B148" i="49" s="1"/>
  <c r="G150" i="47"/>
  <c r="I150" i="47" s="1"/>
  <c r="H146" i="49"/>
  <c r="I146" i="49"/>
  <c r="E69" i="49"/>
  <c r="F69" i="49" s="1"/>
  <c r="H69" i="49" s="1"/>
  <c r="H149" i="47"/>
  <c r="E152" i="48"/>
  <c r="F152" i="48" s="1"/>
  <c r="E151" i="47"/>
  <c r="F151" i="47" s="1"/>
  <c r="I66" i="47"/>
  <c r="B66" i="48"/>
  <c r="E66" i="48"/>
  <c r="F66" i="48" s="1"/>
  <c r="I65" i="48"/>
  <c r="D68" i="47"/>
  <c r="H67" i="47"/>
  <c r="G67" i="47"/>
  <c r="G147" i="49" l="1"/>
  <c r="I147" i="49" s="1"/>
  <c r="H150" i="47"/>
  <c r="G69" i="49"/>
  <c r="I69" i="49" s="1"/>
  <c r="D70" i="49"/>
  <c r="E70" i="49" s="1"/>
  <c r="F70" i="49" s="1"/>
  <c r="H70" i="49" s="1"/>
  <c r="E148" i="49"/>
  <c r="F148" i="49" s="1"/>
  <c r="D153" i="48"/>
  <c r="G152" i="48"/>
  <c r="G151" i="47"/>
  <c r="D152" i="47"/>
  <c r="B152" i="47" s="1"/>
  <c r="D67" i="48"/>
  <c r="H66" i="48"/>
  <c r="G66" i="48"/>
  <c r="I67" i="47"/>
  <c r="E68" i="47"/>
  <c r="F68" i="47" s="1"/>
  <c r="H68" i="47" s="1"/>
  <c r="B68" i="47"/>
  <c r="B70" i="49" l="1"/>
  <c r="H147" i="49"/>
  <c r="D149" i="49"/>
  <c r="B149" i="49" s="1"/>
  <c r="G148" i="49"/>
  <c r="I152" i="48"/>
  <c r="H152" i="48"/>
  <c r="B153" i="48"/>
  <c r="E153" i="48"/>
  <c r="F153" i="48" s="1"/>
  <c r="E152" i="47"/>
  <c r="F152" i="47" s="1"/>
  <c r="D153" i="47" s="1"/>
  <c r="B153" i="47" s="1"/>
  <c r="I151" i="47"/>
  <c r="H151" i="47"/>
  <c r="I66" i="48"/>
  <c r="B67" i="48"/>
  <c r="E67" i="48"/>
  <c r="F67" i="48" s="1"/>
  <c r="G70" i="49"/>
  <c r="I70" i="49" s="1"/>
  <c r="D71" i="49"/>
  <c r="G68" i="47"/>
  <c r="I68" i="47" s="1"/>
  <c r="D69" i="47"/>
  <c r="E149" i="49" l="1"/>
  <c r="F149" i="49" s="1"/>
  <c r="D150" i="49" s="1"/>
  <c r="B150" i="49" s="1"/>
  <c r="I148" i="49"/>
  <c r="H148" i="49"/>
  <c r="G152" i="47"/>
  <c r="H152" i="47" s="1"/>
  <c r="G153" i="48"/>
  <c r="D154" i="48"/>
  <c r="E153" i="47"/>
  <c r="F153" i="47" s="1"/>
  <c r="D68" i="48"/>
  <c r="E68" i="48" s="1"/>
  <c r="F68" i="48" s="1"/>
  <c r="H67" i="48"/>
  <c r="G67" i="48"/>
  <c r="E69" i="47"/>
  <c r="F69" i="47" s="1"/>
  <c r="B69" i="47"/>
  <c r="E71" i="49"/>
  <c r="F71" i="49" s="1"/>
  <c r="H71" i="49" s="1"/>
  <c r="B71" i="49"/>
  <c r="E150" i="49" l="1"/>
  <c r="F150" i="49" s="1"/>
  <c r="D151" i="49" s="1"/>
  <c r="B151" i="49" s="1"/>
  <c r="G149" i="49"/>
  <c r="H149" i="49" s="1"/>
  <c r="I149" i="49"/>
  <c r="I152" i="47"/>
  <c r="E154" i="48"/>
  <c r="E155" i="48" s="1"/>
  <c r="B154" i="48"/>
  <c r="I153" i="48"/>
  <c r="H153" i="48"/>
  <c r="G153" i="47"/>
  <c r="D154" i="47"/>
  <c r="E154" i="47" s="1"/>
  <c r="E155" i="47" s="1"/>
  <c r="I67" i="48"/>
  <c r="D69" i="48"/>
  <c r="E69" i="48" s="1"/>
  <c r="B68" i="48"/>
  <c r="G68" i="48"/>
  <c r="H68" i="48"/>
  <c r="H69" i="47"/>
  <c r="D70" i="47"/>
  <c r="G69" i="47"/>
  <c r="G71" i="49"/>
  <c r="I71" i="49" s="1"/>
  <c r="D72" i="49"/>
  <c r="G150" i="49" l="1"/>
  <c r="H150" i="49" s="1"/>
  <c r="F154" i="48"/>
  <c r="G154" i="48" s="1"/>
  <c r="I154" i="48" s="1"/>
  <c r="I155" i="48" s="1"/>
  <c r="E151" i="49"/>
  <c r="F151" i="49" s="1"/>
  <c r="B154" i="47"/>
  <c r="F154" i="47"/>
  <c r="G154" i="47" s="1"/>
  <c r="H153" i="47"/>
  <c r="I153" i="47"/>
  <c r="I68" i="48"/>
  <c r="F69" i="48"/>
  <c r="G69" i="48" s="1"/>
  <c r="B69" i="48"/>
  <c r="I69" i="47"/>
  <c r="E72" i="49"/>
  <c r="E73" i="49" s="1"/>
  <c r="B72" i="49"/>
  <c r="E70" i="47"/>
  <c r="F70" i="47" s="1"/>
  <c r="B70" i="47"/>
  <c r="I150" i="49" l="1"/>
  <c r="H154" i="48"/>
  <c r="H155" i="48" s="1"/>
  <c r="D152" i="49"/>
  <c r="B152" i="49" s="1"/>
  <c r="G151" i="49"/>
  <c r="I154" i="47"/>
  <c r="I155" i="47" s="1"/>
  <c r="H154" i="47"/>
  <c r="H155" i="47" s="1"/>
  <c r="H69" i="48"/>
  <c r="I69" i="48" s="1"/>
  <c r="F72" i="49"/>
  <c r="G72" i="49" s="1"/>
  <c r="G73" i="49" s="1"/>
  <c r="D70" i="48"/>
  <c r="H70" i="47"/>
  <c r="D71" i="47"/>
  <c r="G70" i="47"/>
  <c r="E152" i="49" l="1"/>
  <c r="F152" i="49" s="1"/>
  <c r="G152" i="49" s="1"/>
  <c r="H151" i="49"/>
  <c r="I151" i="49"/>
  <c r="H72" i="49"/>
  <c r="I70" i="47"/>
  <c r="B70" i="48"/>
  <c r="E70" i="48"/>
  <c r="F70" i="48" s="1"/>
  <c r="E71" i="47"/>
  <c r="F71" i="47" s="1"/>
  <c r="H71" i="47" s="1"/>
  <c r="B71" i="47"/>
  <c r="D153" i="49" l="1"/>
  <c r="B153" i="49" s="1"/>
  <c r="H152" i="49"/>
  <c r="I152" i="49"/>
  <c r="I72" i="49"/>
  <c r="I73" i="49" s="1"/>
  <c r="H73" i="49"/>
  <c r="G70" i="48"/>
  <c r="D71" i="48"/>
  <c r="E71" i="48" s="1"/>
  <c r="H70" i="48"/>
  <c r="G71" i="47"/>
  <c r="I71" i="47" s="1"/>
  <c r="D72" i="47"/>
  <c r="E153" i="49" l="1"/>
  <c r="F153" i="49" s="1"/>
  <c r="G153" i="49" s="1"/>
  <c r="I70" i="48"/>
  <c r="B71" i="48"/>
  <c r="F71" i="48"/>
  <c r="H71" i="48" s="1"/>
  <c r="E72" i="47"/>
  <c r="E73" i="47" s="1"/>
  <c r="B72" i="47"/>
  <c r="D154" i="49" l="1"/>
  <c r="E154" i="49" s="1"/>
  <c r="E155" i="49" s="1"/>
  <c r="I153" i="49"/>
  <c r="H153" i="49"/>
  <c r="G71" i="48"/>
  <c r="I71" i="48" s="1"/>
  <c r="F72" i="47"/>
  <c r="H72" i="47" s="1"/>
  <c r="D72" i="48"/>
  <c r="E72" i="48" s="1"/>
  <c r="E73" i="48" s="1"/>
  <c r="B154" i="49" l="1"/>
  <c r="F154" i="49"/>
  <c r="G154" i="49" s="1"/>
  <c r="I154" i="49" s="1"/>
  <c r="I155" i="49" s="1"/>
  <c r="H73" i="47"/>
  <c r="G72" i="47"/>
  <c r="G73" i="47" s="1"/>
  <c r="B72" i="48"/>
  <c r="F72" i="48"/>
  <c r="G72" i="48" s="1"/>
  <c r="G73" i="48" s="1"/>
  <c r="H154" i="49" l="1"/>
  <c r="H155" i="49" s="1"/>
  <c r="I72" i="47"/>
  <c r="I73" i="47" s="1"/>
  <c r="H72" i="48"/>
  <c r="I72" i="48" s="1"/>
  <c r="I73" i="48" s="1"/>
  <c r="H73" i="48" l="1"/>
  <c r="K48" i="17" l="1"/>
  <c r="L48" i="17" s="1"/>
  <c r="V48" i="17" s="1"/>
  <c r="K46" i="17"/>
  <c r="L46" i="17" s="1"/>
  <c r="V46" i="17" s="1"/>
  <c r="K47" i="17"/>
  <c r="L47" i="17" s="1"/>
  <c r="V47" i="17" s="1"/>
  <c r="K45" i="17"/>
  <c r="L45" i="17" s="1"/>
  <c r="K35" i="17"/>
  <c r="L35" i="17" s="1"/>
  <c r="K30" i="17"/>
  <c r="L30" i="17" s="1"/>
  <c r="K40" i="17"/>
  <c r="L40" i="17" s="1"/>
  <c r="K23" i="17"/>
  <c r="L23" i="17" s="1"/>
  <c r="K24" i="17"/>
  <c r="L24" i="17" s="1"/>
  <c r="K31" i="17"/>
  <c r="L31" i="17" s="1"/>
  <c r="K41" i="17"/>
  <c r="L41" i="17" s="1"/>
  <c r="K28" i="17"/>
  <c r="L28" i="17" s="1"/>
  <c r="K29" i="17"/>
  <c r="L29" i="17" s="1"/>
  <c r="K19" i="17"/>
  <c r="L19" i="17" s="1"/>
  <c r="K22" i="17"/>
  <c r="L22" i="17" s="1"/>
  <c r="K21" i="17"/>
  <c r="L21" i="17" s="1"/>
  <c r="K18" i="17"/>
  <c r="L18" i="17" s="1"/>
  <c r="K37" i="17"/>
  <c r="L37" i="17" s="1"/>
  <c r="K20" i="17"/>
  <c r="L20" i="17" s="1"/>
  <c r="K32" i="17"/>
  <c r="L32" i="17" s="1"/>
  <c r="K34" i="17"/>
  <c r="L34" i="17" s="1"/>
  <c r="K25" i="17"/>
  <c r="L25" i="17" s="1"/>
  <c r="K26" i="17"/>
  <c r="L26" i="17" s="1"/>
  <c r="K36" i="17"/>
  <c r="L36" i="17" s="1"/>
  <c r="K27" i="17"/>
  <c r="L27" i="17" s="1"/>
  <c r="K38" i="17"/>
  <c r="L38" i="17" s="1"/>
  <c r="K44" i="17"/>
  <c r="L44" i="17" s="1"/>
  <c r="K43" i="17"/>
  <c r="L43" i="17" s="1"/>
  <c r="K33" i="17"/>
  <c r="L33" i="17" s="1"/>
  <c r="K42" i="17"/>
  <c r="L42" i="17" s="1"/>
  <c r="K39" i="17"/>
  <c r="L39" i="17" s="1"/>
  <c r="K51" i="17" l="1"/>
  <c r="L50" i="17"/>
  <c r="F87" i="1" l="1"/>
  <c r="F86" i="1"/>
  <c r="F88" i="1" l="1"/>
  <c r="F89" i="1" s="1"/>
  <c r="F91" i="1" s="1"/>
  <c r="F92" i="1" s="1"/>
  <c r="F93" i="1" s="1"/>
  <c r="D13" i="5" s="1"/>
  <c r="I14" i="5" s="1"/>
  <c r="D13" i="10" l="1"/>
  <c r="I14" i="10" s="1"/>
  <c r="D13" i="8"/>
  <c r="I14" i="8" s="1"/>
  <c r="D13" i="40"/>
  <c r="I14" i="40" s="1"/>
  <c r="D13" i="4"/>
  <c r="I14" i="4" s="1"/>
  <c r="E32" i="4" s="1"/>
  <c r="F32" i="4" s="1"/>
  <c r="E33" i="4" s="1"/>
  <c r="D13" i="7"/>
  <c r="I14" i="7" s="1"/>
  <c r="E35" i="7" s="1"/>
  <c r="F35" i="7" s="1"/>
  <c r="D13" i="6"/>
  <c r="I14" i="6" s="1"/>
  <c r="E33" i="6" s="1"/>
  <c r="F33" i="6" s="1"/>
  <c r="E34" i="6" s="1"/>
  <c r="D13" i="11"/>
  <c r="I14" i="11" s="1"/>
  <c r="E34" i="11" s="1"/>
  <c r="F34" i="11" s="1"/>
  <c r="E35" i="11" s="1"/>
  <c r="D13" i="46"/>
  <c r="I14" i="46" s="1"/>
  <c r="E21" i="46" s="1"/>
  <c r="F21" i="46" s="1"/>
  <c r="E22" i="46" s="1"/>
  <c r="D13" i="43"/>
  <c r="I14" i="43" s="1"/>
  <c r="E23" i="43" s="1"/>
  <c r="F23" i="43" s="1"/>
  <c r="D13" i="13"/>
  <c r="D13" i="41"/>
  <c r="I14" i="41" s="1"/>
  <c r="E23" i="41" s="1"/>
  <c r="F23" i="41" s="1"/>
  <c r="E24" i="41" s="1"/>
  <c r="D13" i="45"/>
  <c r="I14" i="45" s="1"/>
  <c r="E22" i="45" s="1"/>
  <c r="F22" i="45" s="1"/>
  <c r="D13" i="28"/>
  <c r="I14" i="28" s="1"/>
  <c r="E27" i="28" s="1"/>
  <c r="F27" i="28" s="1"/>
  <c r="D13" i="23"/>
  <c r="I14" i="23" s="1"/>
  <c r="E30" i="23" s="1"/>
  <c r="F30" i="23" s="1"/>
  <c r="E31" i="23" s="1"/>
  <c r="D13" i="30"/>
  <c r="I14" i="30" s="1"/>
  <c r="E26" i="30" s="1"/>
  <c r="F26" i="30" s="1"/>
  <c r="E27" i="30" s="1"/>
  <c r="D13" i="3"/>
  <c r="I14" i="3" s="1"/>
  <c r="E32" i="3" s="1"/>
  <c r="F32" i="3" s="1"/>
  <c r="E33" i="3" s="1"/>
  <c r="D13" i="9"/>
  <c r="I14" i="9" s="1"/>
  <c r="E34" i="9" s="1"/>
  <c r="F34" i="9" s="1"/>
  <c r="E35" i="9" s="1"/>
  <c r="D13" i="38"/>
  <c r="I14" i="38" s="1"/>
  <c r="E24" i="38" s="1"/>
  <c r="F24" i="38" s="1"/>
  <c r="E25" i="38" s="1"/>
  <c r="D13" i="37"/>
  <c r="I14" i="37" s="1"/>
  <c r="E24" i="37" s="1"/>
  <c r="F24" i="37" s="1"/>
  <c r="E25" i="37" s="1"/>
  <c r="D13" i="39"/>
  <c r="I14" i="39" s="1"/>
  <c r="E24" i="39" s="1"/>
  <c r="F24" i="39" s="1"/>
  <c r="E25" i="39" s="1"/>
  <c r="D13" i="44"/>
  <c r="I14" i="44" s="1"/>
  <c r="E22" i="44" s="1"/>
  <c r="F22" i="44" s="1"/>
  <c r="E23" i="44" s="1"/>
  <c r="D13" i="25"/>
  <c r="I14" i="25" s="1"/>
  <c r="E31" i="25" s="1"/>
  <c r="F31" i="25" s="1"/>
  <c r="D13" i="24"/>
  <c r="I14" i="24" s="1"/>
  <c r="E29" i="24" s="1"/>
  <c r="F29" i="24" s="1"/>
  <c r="E30" i="24" s="1"/>
  <c r="D13" i="29"/>
  <c r="I14" i="29" s="1"/>
  <c r="E27" i="29" s="1"/>
  <c r="F27" i="29" s="1"/>
  <c r="E28" i="29" s="1"/>
  <c r="D13" i="22"/>
  <c r="I14" i="22" s="1"/>
  <c r="E31" i="22" s="1"/>
  <c r="F31" i="22" s="1"/>
  <c r="E32" i="22" s="1"/>
  <c r="D13" i="31"/>
  <c r="I14" i="31" s="1"/>
  <c r="E27" i="31" s="1"/>
  <c r="F27" i="31" s="1"/>
  <c r="E28" i="31" s="1"/>
  <c r="D13" i="42"/>
  <c r="I14" i="42" s="1"/>
  <c r="E23" i="42" s="1"/>
  <c r="F23" i="42" s="1"/>
  <c r="E24" i="42" s="1"/>
  <c r="D13" i="27"/>
  <c r="I14" i="27" s="1"/>
  <c r="E19" i="27" s="1"/>
  <c r="D28" i="27" s="1"/>
  <c r="E35" i="10"/>
  <c r="F35" i="10" s="1"/>
  <c r="E36" i="10" s="1"/>
  <c r="E33" i="8"/>
  <c r="F33" i="8" s="1"/>
  <c r="E34" i="8" s="1"/>
  <c r="E23" i="40"/>
  <c r="F23" i="40" s="1"/>
  <c r="E24" i="40" s="1"/>
  <c r="E32" i="5"/>
  <c r="F32" i="5" s="1"/>
  <c r="E33" i="5" s="1"/>
  <c r="E28" i="27" l="1"/>
  <c r="F28" i="27" s="1"/>
  <c r="H28" i="27" s="1"/>
  <c r="H33" i="8"/>
  <c r="G33" i="8"/>
  <c r="D34" i="8"/>
  <c r="G23" i="43"/>
  <c r="D24" i="43"/>
  <c r="H23" i="43"/>
  <c r="G35" i="7"/>
  <c r="D36" i="7"/>
  <c r="H35" i="7"/>
  <c r="E36" i="7"/>
  <c r="H26" i="30"/>
  <c r="D27" i="30"/>
  <c r="G26" i="30"/>
  <c r="H23" i="40"/>
  <c r="D24" i="40"/>
  <c r="G23" i="40"/>
  <c r="E24" i="43"/>
  <c r="B28" i="27"/>
  <c r="H34" i="9"/>
  <c r="G34" i="9"/>
  <c r="D35" i="9"/>
  <c r="H32" i="3"/>
  <c r="G32" i="3"/>
  <c r="D33" i="3"/>
  <c r="G31" i="25"/>
  <c r="H31" i="25"/>
  <c r="D32" i="25"/>
  <c r="E32" i="25"/>
  <c r="H27" i="28"/>
  <c r="D28" i="28"/>
  <c r="G27" i="28"/>
  <c r="E28" i="28"/>
  <c r="H22" i="45"/>
  <c r="D23" i="45"/>
  <c r="G22" i="45"/>
  <c r="H33" i="6"/>
  <c r="G33" i="6"/>
  <c r="D34" i="6"/>
  <c r="G31" i="22"/>
  <c r="H31" i="22"/>
  <c r="D32" i="22"/>
  <c r="H23" i="42"/>
  <c r="G23" i="42"/>
  <c r="D24" i="42"/>
  <c r="G23" i="41"/>
  <c r="H23" i="41"/>
  <c r="D24" i="41"/>
  <c r="H32" i="5"/>
  <c r="G32" i="5"/>
  <c r="D33" i="5"/>
  <c r="H24" i="38"/>
  <c r="D25" i="38"/>
  <c r="G24" i="38"/>
  <c r="G24" i="37"/>
  <c r="H24" i="37"/>
  <c r="D25" i="37"/>
  <c r="H27" i="29"/>
  <c r="D28" i="29"/>
  <c r="G27" i="29"/>
  <c r="H30" i="23"/>
  <c r="D31" i="23"/>
  <c r="G30" i="23"/>
  <c r="H34" i="11"/>
  <c r="G34" i="11"/>
  <c r="D35" i="11"/>
  <c r="G29" i="24"/>
  <c r="H29" i="24"/>
  <c r="D30" i="24"/>
  <c r="H27" i="31"/>
  <c r="D28" i="31"/>
  <c r="G27" i="31"/>
  <c r="H21" i="46"/>
  <c r="D22" i="46"/>
  <c r="G21" i="46"/>
  <c r="H32" i="4"/>
  <c r="G32" i="4"/>
  <c r="D33" i="4"/>
  <c r="G24" i="39"/>
  <c r="D25" i="39"/>
  <c r="H24" i="39"/>
  <c r="H35" i="10"/>
  <c r="G35" i="10"/>
  <c r="D36" i="10"/>
  <c r="D23" i="44"/>
  <c r="F23" i="44" s="1"/>
  <c r="H22" i="44"/>
  <c r="G22" i="44"/>
  <c r="I22" i="45" l="1"/>
  <c r="I23" i="40"/>
  <c r="I24" i="38"/>
  <c r="I22" i="44"/>
  <c r="I27" i="31"/>
  <c r="I29" i="24"/>
  <c r="D24" i="44"/>
  <c r="E24" i="44"/>
  <c r="F28" i="31"/>
  <c r="H28" i="31" s="1"/>
  <c r="B28" i="31"/>
  <c r="I23" i="41"/>
  <c r="B36" i="7"/>
  <c r="F36" i="7"/>
  <c r="G36" i="7" s="1"/>
  <c r="B31" i="23"/>
  <c r="F31" i="23"/>
  <c r="G31" i="23" s="1"/>
  <c r="F24" i="42"/>
  <c r="B24" i="42"/>
  <c r="F36" i="10"/>
  <c r="G36" i="10" s="1"/>
  <c r="B36" i="10"/>
  <c r="B32" i="25"/>
  <c r="F32" i="25"/>
  <c r="G32" i="25" s="1"/>
  <c r="F24" i="43"/>
  <c r="H24" i="43" s="1"/>
  <c r="B24" i="43"/>
  <c r="B28" i="29"/>
  <c r="F28" i="29"/>
  <c r="B33" i="5"/>
  <c r="F33" i="5"/>
  <c r="G33" i="5" s="1"/>
  <c r="I23" i="42"/>
  <c r="E23" i="45"/>
  <c r="F23" i="45" s="1"/>
  <c r="B23" i="45"/>
  <c r="I31" i="25"/>
  <c r="F27" i="30"/>
  <c r="G27" i="30" s="1"/>
  <c r="B27" i="30"/>
  <c r="B28" i="28"/>
  <c r="F28" i="28"/>
  <c r="H28" i="28" s="1"/>
  <c r="B23" i="44"/>
  <c r="H23" i="44"/>
  <c r="G23" i="44"/>
  <c r="F24" i="40"/>
  <c r="G24" i="40" s="1"/>
  <c r="B24" i="40"/>
  <c r="F30" i="24"/>
  <c r="G30" i="24" s="1"/>
  <c r="B30" i="24"/>
  <c r="I33" i="6"/>
  <c r="I23" i="43"/>
  <c r="I32" i="4"/>
  <c r="I34" i="9"/>
  <c r="I35" i="10"/>
  <c r="F22" i="46"/>
  <c r="G22" i="46" s="1"/>
  <c r="B22" i="46"/>
  <c r="F35" i="11"/>
  <c r="H35" i="11" s="1"/>
  <c r="B35" i="11"/>
  <c r="I27" i="29"/>
  <c r="B32" i="22"/>
  <c r="F32" i="22"/>
  <c r="I26" i="30"/>
  <c r="B34" i="8"/>
  <c r="F34" i="8"/>
  <c r="G34" i="8" s="1"/>
  <c r="I32" i="3"/>
  <c r="F33" i="4"/>
  <c r="H33" i="4" s="1"/>
  <c r="B33" i="4"/>
  <c r="I27" i="28"/>
  <c r="F25" i="38"/>
  <c r="B25" i="38"/>
  <c r="I24" i="39"/>
  <c r="I21" i="46"/>
  <c r="F25" i="37"/>
  <c r="G25" i="37" s="1"/>
  <c r="B25" i="37"/>
  <c r="I32" i="5"/>
  <c r="I31" i="22"/>
  <c r="F33" i="3"/>
  <c r="G33" i="3" s="1"/>
  <c r="B33" i="3"/>
  <c r="G28" i="27"/>
  <c r="I28" i="27" s="1"/>
  <c r="D29" i="27"/>
  <c r="E29" i="27"/>
  <c r="B34" i="6"/>
  <c r="F34" i="6"/>
  <c r="G34" i="6" s="1"/>
  <c r="B35" i="9"/>
  <c r="F35" i="9"/>
  <c r="G35" i="9" s="1"/>
  <c r="I30" i="23"/>
  <c r="F25" i="39"/>
  <c r="G25" i="39" s="1"/>
  <c r="B25" i="39"/>
  <c r="I34" i="11"/>
  <c r="I24" i="37"/>
  <c r="B24" i="41"/>
  <c r="F24" i="41"/>
  <c r="G24" i="41" s="1"/>
  <c r="I35" i="7"/>
  <c r="I33" i="8"/>
  <c r="F24" i="44" l="1"/>
  <c r="G24" i="43"/>
  <c r="I24" i="43" s="1"/>
  <c r="H23" i="45"/>
  <c r="D24" i="45"/>
  <c r="E24" i="45"/>
  <c r="H35" i="9"/>
  <c r="D36" i="9"/>
  <c r="E36" i="9"/>
  <c r="H24" i="40"/>
  <c r="I24" i="40" s="1"/>
  <c r="D25" i="40"/>
  <c r="E25" i="40"/>
  <c r="G28" i="31"/>
  <c r="I28" i="31" s="1"/>
  <c r="D29" i="31"/>
  <c r="E29" i="31"/>
  <c r="H24" i="41"/>
  <c r="H33" i="3"/>
  <c r="D34" i="3"/>
  <c r="E34" i="3"/>
  <c r="I23" i="44"/>
  <c r="H36" i="10"/>
  <c r="D37" i="10"/>
  <c r="E37" i="10"/>
  <c r="B29" i="27"/>
  <c r="F29" i="27"/>
  <c r="G29" i="27" s="1"/>
  <c r="H31" i="23"/>
  <c r="D32" i="23"/>
  <c r="E32" i="23"/>
  <c r="H27" i="30"/>
  <c r="D28" i="30"/>
  <c r="E28" i="30"/>
  <c r="H34" i="6"/>
  <c r="D35" i="6"/>
  <c r="E35" i="6"/>
  <c r="H33" i="5"/>
  <c r="I33" i="5" s="1"/>
  <c r="D34" i="5"/>
  <c r="E34" i="5"/>
  <c r="D25" i="43"/>
  <c r="E25" i="43"/>
  <c r="H36" i="7"/>
  <c r="D37" i="7"/>
  <c r="E37" i="7"/>
  <c r="G24" i="42"/>
  <c r="D25" i="42"/>
  <c r="E25" i="42"/>
  <c r="D25" i="41"/>
  <c r="E25" i="41"/>
  <c r="H25" i="39"/>
  <c r="I25" i="39" s="1"/>
  <c r="D26" i="39"/>
  <c r="E26" i="39"/>
  <c r="G33" i="4"/>
  <c r="I33" i="4" s="1"/>
  <c r="D34" i="4"/>
  <c r="E34" i="4"/>
  <c r="G35" i="11"/>
  <c r="I35" i="11" s="1"/>
  <c r="D36" i="11"/>
  <c r="E36" i="11"/>
  <c r="G23" i="45"/>
  <c r="H24" i="42"/>
  <c r="D25" i="44"/>
  <c r="E25" i="44"/>
  <c r="H32" i="22"/>
  <c r="D33" i="22"/>
  <c r="E33" i="22"/>
  <c r="H28" i="29"/>
  <c r="D29" i="29"/>
  <c r="E29" i="29"/>
  <c r="G25" i="38"/>
  <c r="D26" i="38"/>
  <c r="E26" i="38"/>
  <c r="H25" i="37"/>
  <c r="I25" i="37" s="1"/>
  <c r="D26" i="37"/>
  <c r="E26" i="37"/>
  <c r="H34" i="8"/>
  <c r="D35" i="8"/>
  <c r="E35" i="8"/>
  <c r="D23" i="46"/>
  <c r="E23" i="46"/>
  <c r="H25" i="38"/>
  <c r="G32" i="22"/>
  <c r="H22" i="46"/>
  <c r="H30" i="24"/>
  <c r="I30" i="24" s="1"/>
  <c r="D31" i="24"/>
  <c r="E31" i="24"/>
  <c r="G28" i="28"/>
  <c r="I28" i="28" s="1"/>
  <c r="D29" i="28"/>
  <c r="E29" i="28"/>
  <c r="G28" i="29"/>
  <c r="H32" i="25"/>
  <c r="D33" i="25"/>
  <c r="E33" i="25"/>
  <c r="B24" i="44"/>
  <c r="H24" i="44"/>
  <c r="G24" i="44"/>
  <c r="F24" i="45" l="1"/>
  <c r="D25" i="45" s="1"/>
  <c r="I24" i="44"/>
  <c r="I34" i="6"/>
  <c r="F25" i="40"/>
  <c r="G25" i="40" s="1"/>
  <c r="B25" i="40"/>
  <c r="B29" i="28"/>
  <c r="F29" i="28"/>
  <c r="G29" i="28" s="1"/>
  <c r="F23" i="46"/>
  <c r="G23" i="46" s="1"/>
  <c r="I32" i="22"/>
  <c r="B25" i="41"/>
  <c r="F25" i="41"/>
  <c r="G25" i="41" s="1"/>
  <c r="F34" i="3"/>
  <c r="B34" i="3"/>
  <c r="B23" i="46"/>
  <c r="B26" i="38"/>
  <c r="F26" i="38"/>
  <c r="G26" i="38" s="1"/>
  <c r="B25" i="43"/>
  <c r="F25" i="43"/>
  <c r="G25" i="43" s="1"/>
  <c r="H29" i="27"/>
  <c r="D30" i="27"/>
  <c r="E30" i="27"/>
  <c r="I33" i="3"/>
  <c r="F25" i="44"/>
  <c r="H25" i="44" s="1"/>
  <c r="F34" i="4"/>
  <c r="G34" i="4" s="1"/>
  <c r="B34" i="4"/>
  <c r="F28" i="30"/>
  <c r="G28" i="30" s="1"/>
  <c r="B28" i="30"/>
  <c r="I24" i="41"/>
  <c r="B36" i="9"/>
  <c r="F36" i="9"/>
  <c r="G36" i="9" s="1"/>
  <c r="B26" i="37"/>
  <c r="F26" i="37"/>
  <c r="G26" i="37" s="1"/>
  <c r="B35" i="6"/>
  <c r="F35" i="6"/>
  <c r="G35" i="6" s="1"/>
  <c r="F37" i="10"/>
  <c r="H37" i="10" s="1"/>
  <c r="B37" i="10"/>
  <c r="F29" i="31"/>
  <c r="B29" i="31"/>
  <c r="B37" i="7"/>
  <c r="F37" i="7"/>
  <c r="G37" i="7" s="1"/>
  <c r="I31" i="23"/>
  <c r="I25" i="38"/>
  <c r="B33" i="22"/>
  <c r="F33" i="22"/>
  <c r="G33" i="22" s="1"/>
  <c r="F36" i="11"/>
  <c r="G36" i="11" s="1"/>
  <c r="B36" i="11"/>
  <c r="I36" i="7"/>
  <c r="B31" i="24"/>
  <c r="F31" i="24"/>
  <c r="G31" i="24" s="1"/>
  <c r="F35" i="8"/>
  <c r="H35" i="8" s="1"/>
  <c r="B35" i="8"/>
  <c r="B25" i="44"/>
  <c r="B25" i="42"/>
  <c r="F25" i="42"/>
  <c r="H25" i="42" s="1"/>
  <c r="F34" i="5"/>
  <c r="G34" i="5" s="1"/>
  <c r="B34" i="5"/>
  <c r="I27" i="30"/>
  <c r="I35" i="9"/>
  <c r="B33" i="25"/>
  <c r="F33" i="25"/>
  <c r="H33" i="25" s="1"/>
  <c r="I34" i="8"/>
  <c r="F29" i="29"/>
  <c r="B29" i="29"/>
  <c r="I24" i="42"/>
  <c r="I32" i="25"/>
  <c r="I22" i="46"/>
  <c r="I28" i="29"/>
  <c r="I23" i="45"/>
  <c r="B26" i="39"/>
  <c r="F26" i="39"/>
  <c r="G26" i="39" s="1"/>
  <c r="F32" i="23"/>
  <c r="G32" i="23" s="1"/>
  <c r="B32" i="23"/>
  <c r="I36" i="10"/>
  <c r="B24" i="45"/>
  <c r="G24" i="45"/>
  <c r="H25" i="43" l="1"/>
  <c r="E25" i="45"/>
  <c r="F25" i="45" s="1"/>
  <c r="D26" i="45" s="1"/>
  <c r="B26" i="45" s="1"/>
  <c r="H24" i="45"/>
  <c r="I24" i="45" s="1"/>
  <c r="H26" i="37"/>
  <c r="I26" i="37" s="1"/>
  <c r="G25" i="44"/>
  <c r="I25" i="44" s="1"/>
  <c r="H29" i="29"/>
  <c r="D30" i="29"/>
  <c r="E30" i="29"/>
  <c r="H29" i="28"/>
  <c r="D30" i="28"/>
  <c r="E30" i="28"/>
  <c r="H37" i="7"/>
  <c r="D38" i="7"/>
  <c r="E38" i="7"/>
  <c r="H28" i="30"/>
  <c r="D29" i="30"/>
  <c r="E29" i="30"/>
  <c r="I29" i="27"/>
  <c r="H32" i="23"/>
  <c r="D33" i="23"/>
  <c r="E33" i="23"/>
  <c r="D27" i="37"/>
  <c r="E27" i="37"/>
  <c r="H26" i="38"/>
  <c r="D27" i="38"/>
  <c r="E27" i="38"/>
  <c r="G33" i="25"/>
  <c r="I33" i="25" s="1"/>
  <c r="D34" i="25"/>
  <c r="E34" i="25"/>
  <c r="H34" i="5"/>
  <c r="I34" i="5" s="1"/>
  <c r="D35" i="5"/>
  <c r="E35" i="5"/>
  <c r="B25" i="45"/>
  <c r="H35" i="6"/>
  <c r="D36" i="6"/>
  <c r="E36" i="6"/>
  <c r="H36" i="9"/>
  <c r="D37" i="9"/>
  <c r="E37" i="9"/>
  <c r="I25" i="43"/>
  <c r="H25" i="40"/>
  <c r="I25" i="40" s="1"/>
  <c r="D26" i="40"/>
  <c r="E26" i="40"/>
  <c r="H29" i="31"/>
  <c r="D30" i="31"/>
  <c r="E30" i="31"/>
  <c r="H31" i="24"/>
  <c r="I31" i="24" s="1"/>
  <c r="D32" i="24"/>
  <c r="E32" i="24"/>
  <c r="H34" i="3"/>
  <c r="D35" i="3"/>
  <c r="E35" i="3"/>
  <c r="G37" i="10"/>
  <c r="I37" i="10" s="1"/>
  <c r="D38" i="10"/>
  <c r="E38" i="10"/>
  <c r="B30" i="27"/>
  <c r="F30" i="27"/>
  <c r="H30" i="27" s="1"/>
  <c r="G29" i="31"/>
  <c r="H34" i="4"/>
  <c r="D35" i="4"/>
  <c r="E35" i="4"/>
  <c r="D26" i="42"/>
  <c r="E26" i="42"/>
  <c r="H33" i="22"/>
  <c r="D34" i="22"/>
  <c r="E34" i="22"/>
  <c r="H25" i="41"/>
  <c r="I25" i="41" s="1"/>
  <c r="D26" i="41"/>
  <c r="E26" i="41"/>
  <c r="H26" i="39"/>
  <c r="I26" i="39" s="1"/>
  <c r="D27" i="39"/>
  <c r="E27" i="39"/>
  <c r="G29" i="29"/>
  <c r="G25" i="42"/>
  <c r="I25" i="42" s="1"/>
  <c r="G35" i="8"/>
  <c r="I35" i="8" s="1"/>
  <c r="D36" i="8"/>
  <c r="E36" i="8"/>
  <c r="H36" i="11"/>
  <c r="D37" i="11"/>
  <c r="E37" i="11"/>
  <c r="D26" i="44"/>
  <c r="E26" i="44"/>
  <c r="D26" i="43"/>
  <c r="E26" i="43"/>
  <c r="G34" i="3"/>
  <c r="H23" i="46"/>
  <c r="I23" i="46" s="1"/>
  <c r="D24" i="46"/>
  <c r="E24" i="46"/>
  <c r="G25" i="45" l="1"/>
  <c r="H25" i="45"/>
  <c r="E26" i="45"/>
  <c r="F26" i="45" s="1"/>
  <c r="D27" i="45" s="1"/>
  <c r="F26" i="44"/>
  <c r="G26" i="44" s="1"/>
  <c r="I29" i="31"/>
  <c r="B26" i="42"/>
  <c r="F26" i="42"/>
  <c r="G26" i="42" s="1"/>
  <c r="I35" i="6"/>
  <c r="F26" i="43"/>
  <c r="B26" i="43"/>
  <c r="F32" i="24"/>
  <c r="G32" i="24" s="1"/>
  <c r="B32" i="24"/>
  <c r="B34" i="25"/>
  <c r="F34" i="25"/>
  <c r="G34" i="25" s="1"/>
  <c r="I28" i="30"/>
  <c r="B26" i="44"/>
  <c r="I34" i="4"/>
  <c r="B38" i="10"/>
  <c r="F38" i="10"/>
  <c r="G38" i="10" s="1"/>
  <c r="B33" i="23"/>
  <c r="F33" i="23"/>
  <c r="H33" i="23" s="1"/>
  <c r="F30" i="29"/>
  <c r="B30" i="29"/>
  <c r="F26" i="40"/>
  <c r="G26" i="40" s="1"/>
  <c r="B26" i="40"/>
  <c r="B26" i="41"/>
  <c r="F26" i="41"/>
  <c r="G26" i="41" s="1"/>
  <c r="G30" i="27"/>
  <c r="I30" i="27" s="1"/>
  <c r="D31" i="27"/>
  <c r="E31" i="27"/>
  <c r="B30" i="28"/>
  <c r="F30" i="28"/>
  <c r="H30" i="28" s="1"/>
  <c r="F27" i="37"/>
  <c r="B27" i="37"/>
  <c r="I29" i="28"/>
  <c r="E27" i="44"/>
  <c r="B35" i="4"/>
  <c r="F35" i="4"/>
  <c r="G35" i="4" s="1"/>
  <c r="F30" i="31"/>
  <c r="H30" i="31" s="1"/>
  <c r="B30" i="31"/>
  <c r="B37" i="9"/>
  <c r="F37" i="9"/>
  <c r="H37" i="9" s="1"/>
  <c r="I32" i="23"/>
  <c r="I29" i="29"/>
  <c r="F36" i="6"/>
  <c r="B36" i="6"/>
  <c r="I34" i="3"/>
  <c r="F36" i="8"/>
  <c r="G36" i="8" s="1"/>
  <c r="B36" i="8"/>
  <c r="B29" i="30"/>
  <c r="F29" i="30"/>
  <c r="G29" i="30" s="1"/>
  <c r="B24" i="46"/>
  <c r="F24" i="46"/>
  <c r="G24" i="46" s="1"/>
  <c r="F37" i="11"/>
  <c r="G37" i="11" s="1"/>
  <c r="B37" i="11"/>
  <c r="B27" i="39"/>
  <c r="F27" i="39"/>
  <c r="G27" i="39" s="1"/>
  <c r="B34" i="22"/>
  <c r="F34" i="22"/>
  <c r="G34" i="22" s="1"/>
  <c r="I36" i="9"/>
  <c r="I26" i="38"/>
  <c r="F38" i="7"/>
  <c r="G38" i="7" s="1"/>
  <c r="B38" i="7"/>
  <c r="I36" i="11"/>
  <c r="I33" i="22"/>
  <c r="B35" i="3"/>
  <c r="F35" i="3"/>
  <c r="G35" i="3" s="1"/>
  <c r="F35" i="5"/>
  <c r="G35" i="5" s="1"/>
  <c r="B35" i="5"/>
  <c r="F27" i="38"/>
  <c r="H27" i="38" s="1"/>
  <c r="B27" i="38"/>
  <c r="I37" i="7"/>
  <c r="D27" i="44" l="1"/>
  <c r="I25" i="45"/>
  <c r="H26" i="44"/>
  <c r="E27" i="45"/>
  <c r="F27" i="45" s="1"/>
  <c r="H26" i="45"/>
  <c r="G26" i="45"/>
  <c r="F27" i="44"/>
  <c r="H27" i="44" s="1"/>
  <c r="I26" i="44"/>
  <c r="D28" i="37"/>
  <c r="E28" i="37"/>
  <c r="H26" i="43"/>
  <c r="D27" i="43"/>
  <c r="E27" i="43"/>
  <c r="H36" i="6"/>
  <c r="D37" i="6"/>
  <c r="E37" i="6"/>
  <c r="H26" i="41"/>
  <c r="I26" i="41" s="1"/>
  <c r="D27" i="41"/>
  <c r="E27" i="41"/>
  <c r="G33" i="23"/>
  <c r="I33" i="23" s="1"/>
  <c r="D34" i="23"/>
  <c r="E34" i="23"/>
  <c r="H35" i="3"/>
  <c r="D36" i="3"/>
  <c r="E36" i="3"/>
  <c r="H24" i="46"/>
  <c r="D25" i="46"/>
  <c r="E25" i="46"/>
  <c r="H36" i="8"/>
  <c r="D37" i="8"/>
  <c r="E37" i="8"/>
  <c r="H35" i="5"/>
  <c r="I35" i="5" s="1"/>
  <c r="D36" i="5"/>
  <c r="E36" i="5"/>
  <c r="H37" i="11"/>
  <c r="D38" i="11"/>
  <c r="E38" i="11"/>
  <c r="B27" i="44"/>
  <c r="H34" i="22"/>
  <c r="D35" i="22"/>
  <c r="E35" i="22"/>
  <c r="B27" i="45"/>
  <c r="G30" i="31"/>
  <c r="I30" i="31" s="1"/>
  <c r="D31" i="31"/>
  <c r="E31" i="31"/>
  <c r="G27" i="37"/>
  <c r="H32" i="24"/>
  <c r="I32" i="24" s="1"/>
  <c r="D33" i="24"/>
  <c r="E33" i="24"/>
  <c r="H26" i="42"/>
  <c r="D27" i="42"/>
  <c r="E27" i="42"/>
  <c r="H30" i="29"/>
  <c r="D31" i="29"/>
  <c r="E31" i="29"/>
  <c r="G30" i="28"/>
  <c r="I30" i="28" s="1"/>
  <c r="D31" i="28"/>
  <c r="E31" i="28"/>
  <c r="H38" i="7"/>
  <c r="D39" i="7"/>
  <c r="E39" i="7"/>
  <c r="H27" i="39"/>
  <c r="I27" i="39" s="1"/>
  <c r="D28" i="39"/>
  <c r="E28" i="39"/>
  <c r="H27" i="37"/>
  <c r="F31" i="27"/>
  <c r="G31" i="27" s="1"/>
  <c r="B31" i="27"/>
  <c r="H26" i="40"/>
  <c r="I26" i="40" s="1"/>
  <c r="D27" i="40"/>
  <c r="E27" i="40"/>
  <c r="H38" i="10"/>
  <c r="D39" i="10"/>
  <c r="E39" i="10"/>
  <c r="G26" i="43"/>
  <c r="G37" i="9"/>
  <c r="I37" i="9" s="1"/>
  <c r="D38" i="9"/>
  <c r="E38" i="9"/>
  <c r="H34" i="25"/>
  <c r="D35" i="25"/>
  <c r="E35" i="25"/>
  <c r="G27" i="38"/>
  <c r="I27" i="38" s="1"/>
  <c r="D28" i="38"/>
  <c r="E28" i="38"/>
  <c r="H29" i="30"/>
  <c r="D30" i="30"/>
  <c r="E30" i="30"/>
  <c r="G36" i="6"/>
  <c r="H35" i="4"/>
  <c r="D36" i="4"/>
  <c r="E36" i="4"/>
  <c r="G30" i="29"/>
  <c r="G27" i="44" l="1"/>
  <c r="I27" i="44" s="1"/>
  <c r="D28" i="45"/>
  <c r="B28" i="45" s="1"/>
  <c r="G27" i="45"/>
  <c r="I26" i="45"/>
  <c r="E28" i="44"/>
  <c r="D28" i="44"/>
  <c r="B28" i="44" s="1"/>
  <c r="H27" i="45"/>
  <c r="F31" i="29"/>
  <c r="G31" i="29" s="1"/>
  <c r="B31" i="29"/>
  <c r="B39" i="7"/>
  <c r="F39" i="7"/>
  <c r="H39" i="7" s="1"/>
  <c r="E28" i="45"/>
  <c r="B36" i="4"/>
  <c r="F36" i="4"/>
  <c r="G36" i="4" s="1"/>
  <c r="H31" i="27"/>
  <c r="D32" i="27"/>
  <c r="E32" i="27"/>
  <c r="I35" i="3"/>
  <c r="F39" i="10"/>
  <c r="B39" i="10"/>
  <c r="I27" i="37"/>
  <c r="F37" i="8"/>
  <c r="G37" i="8" s="1"/>
  <c r="B37" i="8"/>
  <c r="F37" i="6"/>
  <c r="G37" i="6" s="1"/>
  <c r="B37" i="6"/>
  <c r="B36" i="5"/>
  <c r="F36" i="5"/>
  <c r="G36" i="5" s="1"/>
  <c r="I26" i="43"/>
  <c r="F33" i="24"/>
  <c r="H33" i="24" s="1"/>
  <c r="B33" i="24"/>
  <c r="F28" i="37"/>
  <c r="G28" i="37" s="1"/>
  <c r="B28" i="37"/>
  <c r="I38" i="7"/>
  <c r="I35" i="4"/>
  <c r="F35" i="25"/>
  <c r="H35" i="25" s="1"/>
  <c r="B35" i="25"/>
  <c r="I38" i="10"/>
  <c r="B31" i="28"/>
  <c r="F31" i="28"/>
  <c r="G31" i="28" s="1"/>
  <c r="F38" i="11"/>
  <c r="G38" i="11" s="1"/>
  <c r="B38" i="11"/>
  <c r="I36" i="8"/>
  <c r="B34" i="23"/>
  <c r="F34" i="23"/>
  <c r="G34" i="23" s="1"/>
  <c r="I36" i="6"/>
  <c r="I26" i="42"/>
  <c r="I29" i="30"/>
  <c r="B28" i="38"/>
  <c r="F28" i="38"/>
  <c r="H28" i="38" s="1"/>
  <c r="I30" i="29"/>
  <c r="B36" i="3"/>
  <c r="F36" i="3"/>
  <c r="F31" i="31"/>
  <c r="H31" i="31" s="1"/>
  <c r="B31" i="31"/>
  <c r="F35" i="22"/>
  <c r="H35" i="22" s="1"/>
  <c r="B35" i="22"/>
  <c r="I37" i="11"/>
  <c r="B38" i="9"/>
  <c r="F38" i="9"/>
  <c r="G38" i="9" s="1"/>
  <c r="B27" i="41"/>
  <c r="F27" i="41"/>
  <c r="H27" i="41" s="1"/>
  <c r="I34" i="25"/>
  <c r="F30" i="30"/>
  <c r="G30" i="30" s="1"/>
  <c r="B30" i="30"/>
  <c r="B27" i="40"/>
  <c r="F27" i="40"/>
  <c r="B28" i="39"/>
  <c r="F28" i="39"/>
  <c r="G28" i="39" s="1"/>
  <c r="F27" i="42"/>
  <c r="G27" i="42" s="1"/>
  <c r="B27" i="42"/>
  <c r="I34" i="22"/>
  <c r="B25" i="46"/>
  <c r="F25" i="46"/>
  <c r="G25" i="46" s="1"/>
  <c r="I24" i="46"/>
  <c r="B27" i="43"/>
  <c r="F27" i="43"/>
  <c r="F28" i="44" l="1"/>
  <c r="D29" i="44" s="1"/>
  <c r="H28" i="44"/>
  <c r="I27" i="45"/>
  <c r="F28" i="45"/>
  <c r="H28" i="45" s="1"/>
  <c r="H28" i="39"/>
  <c r="I28" i="39" s="1"/>
  <c r="H28" i="37"/>
  <c r="I28" i="37" s="1"/>
  <c r="H37" i="8"/>
  <c r="D38" i="8"/>
  <c r="E38" i="8"/>
  <c r="G39" i="7"/>
  <c r="I39" i="7" s="1"/>
  <c r="D40" i="7"/>
  <c r="E40" i="7"/>
  <c r="G35" i="22"/>
  <c r="I35" i="22" s="1"/>
  <c r="D36" i="22"/>
  <c r="E36" i="22"/>
  <c r="H38" i="11"/>
  <c r="D39" i="11"/>
  <c r="E39" i="11"/>
  <c r="G35" i="25"/>
  <c r="I35" i="25" s="1"/>
  <c r="D36" i="25"/>
  <c r="E36" i="25"/>
  <c r="D29" i="37"/>
  <c r="E29" i="37"/>
  <c r="H27" i="43"/>
  <c r="D28" i="43"/>
  <c r="E28" i="43"/>
  <c r="G27" i="40"/>
  <c r="D28" i="40"/>
  <c r="E28" i="40"/>
  <c r="G27" i="41"/>
  <c r="I27" i="41" s="1"/>
  <c r="D28" i="41"/>
  <c r="E28" i="41"/>
  <c r="I31" i="27"/>
  <c r="H30" i="30"/>
  <c r="D31" i="30"/>
  <c r="E31" i="30"/>
  <c r="D29" i="39"/>
  <c r="E29" i="39"/>
  <c r="H38" i="9"/>
  <c r="D39" i="9"/>
  <c r="E39" i="9"/>
  <c r="G28" i="38"/>
  <c r="I28" i="38" s="1"/>
  <c r="D29" i="38"/>
  <c r="E29" i="38"/>
  <c r="B29" i="44"/>
  <c r="F32" i="27"/>
  <c r="B32" i="27"/>
  <c r="H27" i="42"/>
  <c r="I27" i="42" s="1"/>
  <c r="D28" i="42"/>
  <c r="E28" i="42"/>
  <c r="H36" i="5"/>
  <c r="I36" i="5" s="1"/>
  <c r="D37" i="5"/>
  <c r="E37" i="5"/>
  <c r="H36" i="4"/>
  <c r="D37" i="4"/>
  <c r="E37" i="4"/>
  <c r="G31" i="31"/>
  <c r="I31" i="31" s="1"/>
  <c r="D32" i="31"/>
  <c r="E32" i="31"/>
  <c r="H34" i="23"/>
  <c r="D35" i="23"/>
  <c r="E35" i="23"/>
  <c r="H31" i="28"/>
  <c r="I31" i="28" s="1"/>
  <c r="D32" i="28"/>
  <c r="E32" i="28"/>
  <c r="H31" i="29"/>
  <c r="D32" i="29"/>
  <c r="E32" i="29"/>
  <c r="H36" i="3"/>
  <c r="D37" i="3"/>
  <c r="E37" i="3"/>
  <c r="H39" i="10"/>
  <c r="D40" i="10"/>
  <c r="E40" i="10"/>
  <c r="H25" i="46"/>
  <c r="I25" i="46" s="1"/>
  <c r="D26" i="46"/>
  <c r="E26" i="46"/>
  <c r="G27" i="43"/>
  <c r="H27" i="40"/>
  <c r="G36" i="3"/>
  <c r="G33" i="24"/>
  <c r="I33" i="24" s="1"/>
  <c r="D34" i="24"/>
  <c r="E34" i="24"/>
  <c r="H37" i="6"/>
  <c r="D38" i="6"/>
  <c r="E38" i="6"/>
  <c r="G39" i="10"/>
  <c r="E29" i="44" l="1"/>
  <c r="F29" i="44" s="1"/>
  <c r="G29" i="44" s="1"/>
  <c r="G28" i="44"/>
  <c r="I28" i="44" s="1"/>
  <c r="I27" i="40"/>
  <c r="G28" i="45"/>
  <c r="I28" i="45" s="1"/>
  <c r="D29" i="45"/>
  <c r="B29" i="45" s="1"/>
  <c r="H29" i="44"/>
  <c r="I29" i="44" s="1"/>
  <c r="I27" i="43"/>
  <c r="I36" i="3"/>
  <c r="F29" i="38"/>
  <c r="H29" i="38" s="1"/>
  <c r="B29" i="38"/>
  <c r="B31" i="30"/>
  <c r="F31" i="30"/>
  <c r="B32" i="29"/>
  <c r="F32" i="29"/>
  <c r="G32" i="29" s="1"/>
  <c r="B28" i="40"/>
  <c r="F28" i="40"/>
  <c r="G28" i="40" s="1"/>
  <c r="B32" i="31"/>
  <c r="F32" i="31"/>
  <c r="H32" i="31" s="1"/>
  <c r="F39" i="9"/>
  <c r="G39" i="9" s="1"/>
  <c r="B39" i="9"/>
  <c r="B36" i="25"/>
  <c r="F36" i="25"/>
  <c r="G36" i="25" s="1"/>
  <c r="B38" i="6"/>
  <c r="F38" i="6"/>
  <c r="G38" i="6" s="1"/>
  <c r="F40" i="10"/>
  <c r="G40" i="10" s="1"/>
  <c r="B40" i="10"/>
  <c r="B28" i="42"/>
  <c r="F28" i="42"/>
  <c r="I38" i="9"/>
  <c r="B35" i="23"/>
  <c r="F35" i="23"/>
  <c r="G35" i="23" s="1"/>
  <c r="F38" i="8"/>
  <c r="G38" i="8" s="1"/>
  <c r="B38" i="8"/>
  <c r="I34" i="23"/>
  <c r="G32" i="27"/>
  <c r="D33" i="27"/>
  <c r="E33" i="27"/>
  <c r="I37" i="8"/>
  <c r="B36" i="22"/>
  <c r="F36" i="22"/>
  <c r="G36" i="22" s="1"/>
  <c r="I37" i="6"/>
  <c r="I39" i="10"/>
  <c r="B32" i="28"/>
  <c r="F32" i="28"/>
  <c r="H32" i="28" s="1"/>
  <c r="F28" i="43"/>
  <c r="G28" i="43" s="1"/>
  <c r="B28" i="43"/>
  <c r="F40" i="7"/>
  <c r="B40" i="7"/>
  <c r="E29" i="45"/>
  <c r="F37" i="5"/>
  <c r="G37" i="5" s="1"/>
  <c r="B37" i="5"/>
  <c r="I30" i="30"/>
  <c r="I31" i="29"/>
  <c r="B37" i="4"/>
  <c r="F37" i="4"/>
  <c r="F29" i="39"/>
  <c r="H29" i="39" s="1"/>
  <c r="B29" i="39"/>
  <c r="F39" i="11"/>
  <c r="H39" i="11" s="1"/>
  <c r="B39" i="11"/>
  <c r="F29" i="37"/>
  <c r="G29" i="37" s="1"/>
  <c r="B29" i="37"/>
  <c r="B34" i="24"/>
  <c r="F34" i="24"/>
  <c r="G34" i="24" s="1"/>
  <c r="F26" i="46"/>
  <c r="B26" i="46"/>
  <c r="F37" i="3"/>
  <c r="G37" i="3" s="1"/>
  <c r="B37" i="3"/>
  <c r="I36" i="4"/>
  <c r="H32" i="27"/>
  <c r="B28" i="41"/>
  <c r="F28" i="41"/>
  <c r="H28" i="41" s="1"/>
  <c r="D30" i="44"/>
  <c r="E30" i="44"/>
  <c r="I38" i="11"/>
  <c r="F29" i="45" l="1"/>
  <c r="D30" i="45" s="1"/>
  <c r="G29" i="38"/>
  <c r="I29" i="38" s="1"/>
  <c r="F30" i="44"/>
  <c r="E31" i="44" s="1"/>
  <c r="H29" i="45"/>
  <c r="I32" i="27"/>
  <c r="G37" i="4"/>
  <c r="D38" i="4"/>
  <c r="E38" i="4"/>
  <c r="H35" i="23"/>
  <c r="I35" i="23" s="1"/>
  <c r="D36" i="23"/>
  <c r="E36" i="23"/>
  <c r="H36" i="25"/>
  <c r="I36" i="25" s="1"/>
  <c r="D37" i="25"/>
  <c r="E37" i="25"/>
  <c r="H28" i="40"/>
  <c r="I28" i="40" s="1"/>
  <c r="D29" i="40"/>
  <c r="E29" i="40"/>
  <c r="D31" i="44"/>
  <c r="H34" i="24"/>
  <c r="I34" i="24" s="1"/>
  <c r="D35" i="24"/>
  <c r="E35" i="24"/>
  <c r="B30" i="44"/>
  <c r="H36" i="22"/>
  <c r="I36" i="22" s="1"/>
  <c r="D37" i="22"/>
  <c r="E37" i="22"/>
  <c r="H40" i="10"/>
  <c r="I40" i="10" s="1"/>
  <c r="D41" i="10"/>
  <c r="E41" i="10"/>
  <c r="H31" i="30"/>
  <c r="D32" i="30"/>
  <c r="E32" i="30"/>
  <c r="D27" i="46"/>
  <c r="E27" i="46"/>
  <c r="B33" i="27"/>
  <c r="F33" i="27"/>
  <c r="G33" i="27" s="1"/>
  <c r="H37" i="3"/>
  <c r="I37" i="3" s="1"/>
  <c r="D38" i="3"/>
  <c r="E38" i="3"/>
  <c r="G32" i="28"/>
  <c r="I32" i="28" s="1"/>
  <c r="D33" i="28"/>
  <c r="E33" i="28"/>
  <c r="H39" i="9"/>
  <c r="D40" i="9"/>
  <c r="E40" i="9"/>
  <c r="H32" i="29"/>
  <c r="I32" i="29" s="1"/>
  <c r="D33" i="29"/>
  <c r="E33" i="29"/>
  <c r="D30" i="38"/>
  <c r="E30" i="38"/>
  <c r="H40" i="7"/>
  <c r="D41" i="7"/>
  <c r="E41" i="7"/>
  <c r="G28" i="42"/>
  <c r="D29" i="42"/>
  <c r="E29" i="42"/>
  <c r="G39" i="11"/>
  <c r="I39" i="11" s="1"/>
  <c r="D40" i="11"/>
  <c r="E40" i="11"/>
  <c r="G28" i="41"/>
  <c r="I28" i="41" s="1"/>
  <c r="D29" i="41"/>
  <c r="E29" i="41"/>
  <c r="G26" i="46"/>
  <c r="G29" i="39"/>
  <c r="I29" i="39" s="1"/>
  <c r="D30" i="39"/>
  <c r="E30" i="39"/>
  <c r="G40" i="7"/>
  <c r="H38" i="6"/>
  <c r="I38" i="6" s="1"/>
  <c r="D39" i="6"/>
  <c r="E39" i="6"/>
  <c r="H37" i="5"/>
  <c r="I37" i="5" s="1"/>
  <c r="D38" i="5"/>
  <c r="E38" i="5"/>
  <c r="H28" i="43"/>
  <c r="I28" i="43" s="1"/>
  <c r="D29" i="43"/>
  <c r="E29" i="43"/>
  <c r="H26" i="46"/>
  <c r="H29" i="37"/>
  <c r="I29" i="37" s="1"/>
  <c r="D30" i="37"/>
  <c r="E30" i="37"/>
  <c r="H37" i="4"/>
  <c r="H38" i="8"/>
  <c r="D39" i="8"/>
  <c r="E39" i="8"/>
  <c r="H28" i="42"/>
  <c r="G32" i="31"/>
  <c r="I32" i="31" s="1"/>
  <c r="D33" i="31"/>
  <c r="E33" i="31"/>
  <c r="G31" i="30"/>
  <c r="G29" i="45" l="1"/>
  <c r="H30" i="44"/>
  <c r="F27" i="46"/>
  <c r="G27" i="46" s="1"/>
  <c r="G30" i="44"/>
  <c r="I29" i="45"/>
  <c r="I28" i="42"/>
  <c r="F31" i="44"/>
  <c r="E32" i="44" s="1"/>
  <c r="I37" i="4"/>
  <c r="I26" i="46"/>
  <c r="B29" i="41"/>
  <c r="F29" i="41"/>
  <c r="H29" i="41" s="1"/>
  <c r="B27" i="46"/>
  <c r="F37" i="22"/>
  <c r="G37" i="22" s="1"/>
  <c r="B37" i="22"/>
  <c r="F39" i="8"/>
  <c r="H39" i="8" s="1"/>
  <c r="B39" i="8"/>
  <c r="B29" i="43"/>
  <c r="F29" i="43"/>
  <c r="G29" i="43" s="1"/>
  <c r="B38" i="3"/>
  <c r="F38" i="3"/>
  <c r="G38" i="3" s="1"/>
  <c r="B31" i="44"/>
  <c r="B36" i="23"/>
  <c r="F36" i="23"/>
  <c r="G36" i="23" s="1"/>
  <c r="B29" i="42"/>
  <c r="F29" i="42"/>
  <c r="H29" i="42" s="1"/>
  <c r="I38" i="8"/>
  <c r="F41" i="7"/>
  <c r="G41" i="7" s="1"/>
  <c r="B41" i="7"/>
  <c r="B40" i="11"/>
  <c r="F40" i="11"/>
  <c r="G40" i="11" s="1"/>
  <c r="I40" i="7"/>
  <c r="I39" i="9"/>
  <c r="I31" i="30"/>
  <c r="B29" i="40"/>
  <c r="F29" i="40"/>
  <c r="G29" i="40" s="1"/>
  <c r="F39" i="6"/>
  <c r="G39" i="6" s="1"/>
  <c r="B39" i="6"/>
  <c r="F40" i="9"/>
  <c r="G40" i="9" s="1"/>
  <c r="B40" i="9"/>
  <c r="F32" i="30"/>
  <c r="G32" i="30" s="1"/>
  <c r="B32" i="30"/>
  <c r="F38" i="5"/>
  <c r="B38" i="5"/>
  <c r="F30" i="39"/>
  <c r="G30" i="39" s="1"/>
  <c r="B30" i="39"/>
  <c r="B38" i="4"/>
  <c r="F38" i="4"/>
  <c r="G38" i="4" s="1"/>
  <c r="B33" i="29"/>
  <c r="F33" i="29"/>
  <c r="G33" i="29" s="1"/>
  <c r="D28" i="46"/>
  <c r="E28" i="46"/>
  <c r="F33" i="31"/>
  <c r="G33" i="31" s="1"/>
  <c r="B33" i="31"/>
  <c r="B30" i="37"/>
  <c r="F30" i="37"/>
  <c r="G30" i="37" s="1"/>
  <c r="B30" i="38"/>
  <c r="F30" i="38"/>
  <c r="G30" i="38" s="1"/>
  <c r="B33" i="28"/>
  <c r="F33" i="28"/>
  <c r="G33" i="28" s="1"/>
  <c r="H33" i="27"/>
  <c r="I33" i="27" s="1"/>
  <c r="D34" i="27"/>
  <c r="E34" i="27"/>
  <c r="F41" i="10"/>
  <c r="H41" i="10" s="1"/>
  <c r="B41" i="10"/>
  <c r="B35" i="24"/>
  <c r="F35" i="24"/>
  <c r="B37" i="25"/>
  <c r="F37" i="25"/>
  <c r="H37" i="25" s="1"/>
  <c r="E30" i="45"/>
  <c r="F30" i="45" s="1"/>
  <c r="H30" i="45" s="1"/>
  <c r="B30" i="45"/>
  <c r="H27" i="46" l="1"/>
  <c r="I27" i="46" s="1"/>
  <c r="I30" i="44"/>
  <c r="G29" i="41"/>
  <c r="G31" i="44"/>
  <c r="H31" i="44"/>
  <c r="D32" i="44"/>
  <c r="F32" i="44" s="1"/>
  <c r="H32" i="44" s="1"/>
  <c r="H38" i="4"/>
  <c r="I38" i="4" s="1"/>
  <c r="D39" i="4"/>
  <c r="E39" i="4"/>
  <c r="H39" i="6"/>
  <c r="I39" i="6" s="1"/>
  <c r="D40" i="6"/>
  <c r="E40" i="6"/>
  <c r="G39" i="8"/>
  <c r="I39" i="8" s="1"/>
  <c r="D40" i="8"/>
  <c r="E40" i="8"/>
  <c r="H30" i="38"/>
  <c r="I30" i="38" s="1"/>
  <c r="D31" i="38"/>
  <c r="E31" i="38"/>
  <c r="F28" i="46"/>
  <c r="G28" i="46" s="1"/>
  <c r="H32" i="30"/>
  <c r="I32" i="30" s="1"/>
  <c r="D33" i="30"/>
  <c r="E33" i="30"/>
  <c r="H29" i="40"/>
  <c r="I29" i="40" s="1"/>
  <c r="D30" i="40"/>
  <c r="E30" i="40"/>
  <c r="H38" i="3"/>
  <c r="I38" i="3" s="1"/>
  <c r="D39" i="3"/>
  <c r="E39" i="3"/>
  <c r="I29" i="41"/>
  <c r="H35" i="24"/>
  <c r="D36" i="24"/>
  <c r="E36" i="24"/>
  <c r="G30" i="45"/>
  <c r="I30" i="45" s="1"/>
  <c r="D31" i="45"/>
  <c r="H33" i="31"/>
  <c r="I33" i="31" s="1"/>
  <c r="D34" i="31"/>
  <c r="E34" i="31"/>
  <c r="G29" i="42"/>
  <c r="I29" i="42" s="1"/>
  <c r="D30" i="42"/>
  <c r="E30" i="42"/>
  <c r="G41" i="10"/>
  <c r="I41" i="10" s="1"/>
  <c r="D42" i="10"/>
  <c r="E42" i="10"/>
  <c r="G37" i="25"/>
  <c r="I37" i="25" s="1"/>
  <c r="D38" i="25"/>
  <c r="E38" i="25"/>
  <c r="H30" i="39"/>
  <c r="I30" i="39" s="1"/>
  <c r="D31" i="39"/>
  <c r="E31" i="39"/>
  <c r="H36" i="23"/>
  <c r="I36" i="23" s="1"/>
  <c r="D37" i="23"/>
  <c r="E37" i="23"/>
  <c r="D30" i="41"/>
  <c r="E30" i="41"/>
  <c r="H37" i="22"/>
  <c r="I37" i="22" s="1"/>
  <c r="D38" i="22"/>
  <c r="E38" i="22"/>
  <c r="H33" i="28"/>
  <c r="I33" i="28" s="1"/>
  <c r="D34" i="28"/>
  <c r="E34" i="28"/>
  <c r="H38" i="5"/>
  <c r="D39" i="5"/>
  <c r="E39" i="5"/>
  <c r="H40" i="11"/>
  <c r="I40" i="11" s="1"/>
  <c r="D41" i="11"/>
  <c r="E41" i="11"/>
  <c r="B28" i="46"/>
  <c r="F34" i="27"/>
  <c r="B34" i="27"/>
  <c r="G35" i="24"/>
  <c r="H30" i="37"/>
  <c r="I30" i="37" s="1"/>
  <c r="D31" i="37"/>
  <c r="E31" i="37"/>
  <c r="H33" i="29"/>
  <c r="I33" i="29" s="1"/>
  <c r="D34" i="29"/>
  <c r="E34" i="29"/>
  <c r="G38" i="5"/>
  <c r="H40" i="9"/>
  <c r="I40" i="9" s="1"/>
  <c r="D41" i="9"/>
  <c r="E41" i="9"/>
  <c r="H41" i="7"/>
  <c r="I41" i="7" s="1"/>
  <c r="D42" i="7"/>
  <c r="E42" i="7"/>
  <c r="H29" i="43"/>
  <c r="I29" i="43" s="1"/>
  <c r="D30" i="43"/>
  <c r="E30" i="43"/>
  <c r="I31" i="44" l="1"/>
  <c r="B32" i="44"/>
  <c r="F42" i="10"/>
  <c r="G42" i="10" s="1"/>
  <c r="G32" i="44"/>
  <c r="I32" i="44" s="1"/>
  <c r="I35" i="24"/>
  <c r="F42" i="7"/>
  <c r="G42" i="7" s="1"/>
  <c r="H28" i="46"/>
  <c r="I28" i="46" s="1"/>
  <c r="I38" i="5"/>
  <c r="B31" i="39"/>
  <c r="F31" i="39"/>
  <c r="H31" i="39" s="1"/>
  <c r="F34" i="29"/>
  <c r="G34" i="29" s="1"/>
  <c r="B34" i="29"/>
  <c r="B42" i="7"/>
  <c r="B30" i="41"/>
  <c r="F30" i="41"/>
  <c r="H30" i="41" s="1"/>
  <c r="F34" i="31"/>
  <c r="G34" i="31" s="1"/>
  <c r="B34" i="31"/>
  <c r="D33" i="44"/>
  <c r="E33" i="44"/>
  <c r="B33" i="30"/>
  <c r="F33" i="30"/>
  <c r="G33" i="30" s="1"/>
  <c r="F39" i="4"/>
  <c r="G39" i="4" s="1"/>
  <c r="B39" i="4"/>
  <c r="F31" i="37"/>
  <c r="B31" i="37"/>
  <c r="F34" i="28"/>
  <c r="G34" i="28" s="1"/>
  <c r="B34" i="28"/>
  <c r="B38" i="25"/>
  <c r="F38" i="25"/>
  <c r="H38" i="25" s="1"/>
  <c r="E31" i="45"/>
  <c r="F31" i="45" s="1"/>
  <c r="G31" i="45" s="1"/>
  <c r="B31" i="45"/>
  <c r="B39" i="3"/>
  <c r="F39" i="3"/>
  <c r="G39" i="3" s="1"/>
  <c r="F39" i="5"/>
  <c r="B39" i="5"/>
  <c r="B37" i="23"/>
  <c r="F37" i="23"/>
  <c r="H37" i="23" s="1"/>
  <c r="D29" i="46"/>
  <c r="E29" i="46"/>
  <c r="G34" i="27"/>
  <c r="D35" i="27"/>
  <c r="E35" i="27"/>
  <c r="B40" i="8"/>
  <c r="F40" i="8"/>
  <c r="G40" i="8" s="1"/>
  <c r="F41" i="11"/>
  <c r="G41" i="11" s="1"/>
  <c r="B41" i="11"/>
  <c r="F41" i="9"/>
  <c r="B41" i="9"/>
  <c r="B30" i="43"/>
  <c r="F30" i="43"/>
  <c r="G30" i="43" s="1"/>
  <c r="H34" i="27"/>
  <c r="F38" i="22"/>
  <c r="G38" i="22" s="1"/>
  <c r="B38" i="22"/>
  <c r="B42" i="10"/>
  <c r="F30" i="42"/>
  <c r="G30" i="42" s="1"/>
  <c r="B30" i="42"/>
  <c r="F36" i="24"/>
  <c r="G36" i="24" s="1"/>
  <c r="B36" i="24"/>
  <c r="F30" i="40"/>
  <c r="H30" i="40" s="1"/>
  <c r="B30" i="40"/>
  <c r="F31" i="38"/>
  <c r="H31" i="38" s="1"/>
  <c r="B31" i="38"/>
  <c r="B40" i="6"/>
  <c r="F40" i="6"/>
  <c r="G40" i="6" s="1"/>
  <c r="H42" i="7" l="1"/>
  <c r="I42" i="7" s="1"/>
  <c r="D43" i="10"/>
  <c r="E43" i="7"/>
  <c r="E43" i="10"/>
  <c r="D43" i="7"/>
  <c r="H42" i="10"/>
  <c r="I42" i="10" s="1"/>
  <c r="G30" i="40"/>
  <c r="I30" i="40" s="1"/>
  <c r="I34" i="27"/>
  <c r="B33" i="44"/>
  <c r="G38" i="25"/>
  <c r="I38" i="25" s="1"/>
  <c r="D39" i="25"/>
  <c r="E39" i="25"/>
  <c r="H36" i="24"/>
  <c r="I36" i="24" s="1"/>
  <c r="D37" i="24"/>
  <c r="E37" i="24"/>
  <c r="H38" i="22"/>
  <c r="I38" i="22" s="1"/>
  <c r="D39" i="22"/>
  <c r="E39" i="22"/>
  <c r="B29" i="46"/>
  <c r="F29" i="46"/>
  <c r="G29" i="46" s="1"/>
  <c r="H39" i="3"/>
  <c r="I39" i="3" s="1"/>
  <c r="D40" i="3"/>
  <c r="E40" i="3"/>
  <c r="H39" i="5"/>
  <c r="D40" i="5"/>
  <c r="E40" i="5"/>
  <c r="H31" i="37"/>
  <c r="D32" i="37"/>
  <c r="E32" i="37"/>
  <c r="H40" i="8"/>
  <c r="I40" i="8" s="1"/>
  <c r="D41" i="8"/>
  <c r="E41" i="8"/>
  <c r="H34" i="31"/>
  <c r="I34" i="31" s="1"/>
  <c r="D35" i="31"/>
  <c r="E35" i="31"/>
  <c r="G37" i="23"/>
  <c r="I37" i="23" s="1"/>
  <c r="D38" i="23"/>
  <c r="E38" i="23"/>
  <c r="H34" i="29"/>
  <c r="I34" i="29" s="1"/>
  <c r="D35" i="29"/>
  <c r="E35" i="29"/>
  <c r="B35" i="27"/>
  <c r="F35" i="27"/>
  <c r="G35" i="27" s="1"/>
  <c r="H30" i="43"/>
  <c r="I30" i="43" s="1"/>
  <c r="D31" i="43"/>
  <c r="E31" i="43"/>
  <c r="H34" i="28"/>
  <c r="I34" i="28" s="1"/>
  <c r="D35" i="28"/>
  <c r="E35" i="28"/>
  <c r="H33" i="30"/>
  <c r="I33" i="30" s="1"/>
  <c r="D34" i="30"/>
  <c r="E34" i="30"/>
  <c r="G30" i="41"/>
  <c r="I30" i="41" s="1"/>
  <c r="D31" i="41"/>
  <c r="E31" i="41"/>
  <c r="G31" i="38"/>
  <c r="I31" i="38" s="1"/>
  <c r="D32" i="38"/>
  <c r="E32" i="38"/>
  <c r="H30" i="42"/>
  <c r="I30" i="42" s="1"/>
  <c r="D31" i="42"/>
  <c r="E31" i="42"/>
  <c r="G39" i="5"/>
  <c r="H31" i="45"/>
  <c r="I31" i="45" s="1"/>
  <c r="D32" i="45"/>
  <c r="E32" i="45"/>
  <c r="G31" i="37"/>
  <c r="G31" i="39"/>
  <c r="I31" i="39" s="1"/>
  <c r="D32" i="39"/>
  <c r="E32" i="39"/>
  <c r="H41" i="9"/>
  <c r="D42" i="9"/>
  <c r="E42" i="9"/>
  <c r="B43" i="10"/>
  <c r="H39" i="4"/>
  <c r="I39" i="4" s="1"/>
  <c r="D40" i="4"/>
  <c r="E40" i="4"/>
  <c r="H40" i="6"/>
  <c r="I40" i="6" s="1"/>
  <c r="D41" i="6"/>
  <c r="E41" i="6"/>
  <c r="D31" i="40"/>
  <c r="E31" i="40"/>
  <c r="G41" i="9"/>
  <c r="H41" i="11"/>
  <c r="I41" i="11" s="1"/>
  <c r="D42" i="11"/>
  <c r="E42" i="11"/>
  <c r="B43" i="7"/>
  <c r="F33" i="44"/>
  <c r="H33" i="44" s="1"/>
  <c r="F43" i="7" l="1"/>
  <c r="H43" i="7" s="1"/>
  <c r="F43" i="10"/>
  <c r="G43" i="10" s="1"/>
  <c r="F42" i="11"/>
  <c r="H42" i="11" s="1"/>
  <c r="F32" i="45"/>
  <c r="D33" i="45" s="1"/>
  <c r="F41" i="6"/>
  <c r="H41" i="6" s="1"/>
  <c r="F41" i="8"/>
  <c r="H41" i="8" s="1"/>
  <c r="F42" i="9"/>
  <c r="G42" i="9" s="1"/>
  <c r="F40" i="4"/>
  <c r="H40" i="4" s="1"/>
  <c r="F31" i="40"/>
  <c r="G31" i="40" s="1"/>
  <c r="B31" i="40"/>
  <c r="G43" i="7"/>
  <c r="I43" i="7" s="1"/>
  <c r="D44" i="7"/>
  <c r="E44" i="7"/>
  <c r="B41" i="6"/>
  <c r="H43" i="10"/>
  <c r="I43" i="10" s="1"/>
  <c r="D44" i="10"/>
  <c r="I31" i="37"/>
  <c r="B35" i="31"/>
  <c r="F35" i="31"/>
  <c r="H35" i="31" s="1"/>
  <c r="F39" i="25"/>
  <c r="H39" i="25" s="1"/>
  <c r="B39" i="25"/>
  <c r="F32" i="37"/>
  <c r="H32" i="37" s="1"/>
  <c r="B32" i="37"/>
  <c r="F35" i="28"/>
  <c r="G35" i="28" s="1"/>
  <c r="B35" i="28"/>
  <c r="D43" i="11"/>
  <c r="B42" i="11"/>
  <c r="G42" i="11"/>
  <c r="B42" i="9"/>
  <c r="B32" i="45"/>
  <c r="F31" i="43"/>
  <c r="H31" i="43" s="1"/>
  <c r="B31" i="43"/>
  <c r="I39" i="5"/>
  <c r="B39" i="22"/>
  <c r="F39" i="22"/>
  <c r="G39" i="22" s="1"/>
  <c r="G33" i="44"/>
  <c r="I33" i="44" s="1"/>
  <c r="B31" i="42"/>
  <c r="F31" i="42"/>
  <c r="G31" i="42" s="1"/>
  <c r="I41" i="9"/>
  <c r="B32" i="38"/>
  <c r="F32" i="38"/>
  <c r="G32" i="38" s="1"/>
  <c r="B41" i="8"/>
  <c r="F35" i="29"/>
  <c r="B35" i="29"/>
  <c r="B40" i="4"/>
  <c r="B34" i="30"/>
  <c r="F34" i="30"/>
  <c r="G34" i="30" s="1"/>
  <c r="B40" i="3"/>
  <c r="F40" i="3"/>
  <c r="B32" i="39"/>
  <c r="F32" i="39"/>
  <c r="H32" i="39" s="1"/>
  <c r="H29" i="46"/>
  <c r="I29" i="46" s="1"/>
  <c r="D30" i="46"/>
  <c r="E30" i="46"/>
  <c r="F31" i="41"/>
  <c r="G31" i="41" s="1"/>
  <c r="B31" i="41"/>
  <c r="B40" i="5"/>
  <c r="F40" i="5"/>
  <c r="G40" i="5" s="1"/>
  <c r="D34" i="44"/>
  <c r="E34" i="44"/>
  <c r="H35" i="27"/>
  <c r="I35" i="27" s="1"/>
  <c r="D36" i="27"/>
  <c r="E36" i="27"/>
  <c r="B38" i="23"/>
  <c r="F38" i="23"/>
  <c r="G38" i="23" s="1"/>
  <c r="B37" i="24"/>
  <c r="F37" i="24"/>
  <c r="H37" i="24" s="1"/>
  <c r="E43" i="11" l="1"/>
  <c r="E44" i="10"/>
  <c r="H42" i="9"/>
  <c r="E43" i="9"/>
  <c r="G40" i="4"/>
  <c r="I40" i="4" s="1"/>
  <c r="E41" i="4"/>
  <c r="D43" i="9"/>
  <c r="D41" i="4"/>
  <c r="E33" i="45"/>
  <c r="F33" i="45" s="1"/>
  <c r="D34" i="45" s="1"/>
  <c r="B34" i="45" s="1"/>
  <c r="G32" i="45"/>
  <c r="H32" i="45"/>
  <c r="G41" i="6"/>
  <c r="I41" i="6" s="1"/>
  <c r="H31" i="40"/>
  <c r="I31" i="40" s="1"/>
  <c r="F43" i="11"/>
  <c r="G43" i="11" s="1"/>
  <c r="G41" i="8"/>
  <c r="I41" i="8" s="1"/>
  <c r="E42" i="8"/>
  <c r="E42" i="6"/>
  <c r="D42" i="8"/>
  <c r="D42" i="6"/>
  <c r="H31" i="41"/>
  <c r="I31" i="41" s="1"/>
  <c r="G31" i="43"/>
  <c r="I31" i="43" s="1"/>
  <c r="I42" i="11"/>
  <c r="G32" i="37"/>
  <c r="I32" i="37" s="1"/>
  <c r="F44" i="7"/>
  <c r="G44" i="7" s="1"/>
  <c r="B44" i="7"/>
  <c r="H35" i="29"/>
  <c r="D36" i="29"/>
  <c r="E36" i="29"/>
  <c r="H38" i="23"/>
  <c r="I38" i="23" s="1"/>
  <c r="D39" i="23"/>
  <c r="E39" i="23"/>
  <c r="H40" i="5"/>
  <c r="I40" i="5" s="1"/>
  <c r="D41" i="5"/>
  <c r="E41" i="5"/>
  <c r="H39" i="22"/>
  <c r="I39" i="22" s="1"/>
  <c r="D40" i="22"/>
  <c r="E40" i="22"/>
  <c r="G39" i="25"/>
  <c r="I39" i="25" s="1"/>
  <c r="D40" i="25"/>
  <c r="E40" i="25"/>
  <c r="B44" i="10"/>
  <c r="F44" i="10"/>
  <c r="G44" i="10" s="1"/>
  <c r="B30" i="46"/>
  <c r="F30" i="46"/>
  <c r="H30" i="46" s="1"/>
  <c r="H34" i="30"/>
  <c r="I34" i="30" s="1"/>
  <c r="D35" i="30"/>
  <c r="E35" i="30"/>
  <c r="H35" i="28"/>
  <c r="I35" i="28" s="1"/>
  <c r="D36" i="28"/>
  <c r="E36" i="28"/>
  <c r="F36" i="27"/>
  <c r="G36" i="27" s="1"/>
  <c r="G32" i="39"/>
  <c r="I32" i="39" s="1"/>
  <c r="D33" i="39"/>
  <c r="E33" i="39"/>
  <c r="B33" i="45"/>
  <c r="B43" i="9"/>
  <c r="G35" i="31"/>
  <c r="I35" i="31" s="1"/>
  <c r="D36" i="31"/>
  <c r="E36" i="31"/>
  <c r="H32" i="38"/>
  <c r="I32" i="38" s="1"/>
  <c r="D33" i="38"/>
  <c r="E33" i="38"/>
  <c r="B34" i="44"/>
  <c r="H31" i="42"/>
  <c r="I31" i="42" s="1"/>
  <c r="D32" i="42"/>
  <c r="E32" i="42"/>
  <c r="D32" i="40"/>
  <c r="E32" i="40"/>
  <c r="H40" i="3"/>
  <c r="D41" i="3"/>
  <c r="E41" i="3"/>
  <c r="D32" i="43"/>
  <c r="E32" i="43"/>
  <c r="B36" i="27"/>
  <c r="G37" i="24"/>
  <c r="I37" i="24" s="1"/>
  <c r="D38" i="24"/>
  <c r="E38" i="24"/>
  <c r="F34" i="44"/>
  <c r="H34" i="44" s="1"/>
  <c r="D32" i="41"/>
  <c r="E32" i="41"/>
  <c r="G40" i="3"/>
  <c r="G35" i="29"/>
  <c r="I42" i="9"/>
  <c r="B43" i="11"/>
  <c r="D33" i="37"/>
  <c r="E33" i="37"/>
  <c r="H43" i="11" l="1"/>
  <c r="I32" i="45"/>
  <c r="F41" i="4"/>
  <c r="D42" i="4" s="1"/>
  <c r="B41" i="4"/>
  <c r="F43" i="9"/>
  <c r="E44" i="11"/>
  <c r="H33" i="45"/>
  <c r="D44" i="11"/>
  <c r="F42" i="8"/>
  <c r="G42" i="8" s="1"/>
  <c r="G33" i="45"/>
  <c r="E34" i="45"/>
  <c r="F34" i="45" s="1"/>
  <c r="H34" i="45" s="1"/>
  <c r="F41" i="5"/>
  <c r="D42" i="5" s="1"/>
  <c r="B42" i="8"/>
  <c r="F40" i="25"/>
  <c r="D41" i="25" s="1"/>
  <c r="F42" i="6"/>
  <c r="G42" i="6" s="1"/>
  <c r="B42" i="6"/>
  <c r="I43" i="11"/>
  <c r="F39" i="23"/>
  <c r="H39" i="23" s="1"/>
  <c r="F41" i="3"/>
  <c r="D42" i="3" s="1"/>
  <c r="I35" i="29"/>
  <c r="F32" i="40"/>
  <c r="H32" i="40" s="1"/>
  <c r="B32" i="40"/>
  <c r="F35" i="30"/>
  <c r="G35" i="30" s="1"/>
  <c r="B35" i="30"/>
  <c r="B41" i="5"/>
  <c r="F38" i="24"/>
  <c r="G38" i="24" s="1"/>
  <c r="B38" i="24"/>
  <c r="B40" i="25"/>
  <c r="F36" i="29"/>
  <c r="G36" i="29" s="1"/>
  <c r="B36" i="29"/>
  <c r="F32" i="42"/>
  <c r="H32" i="42" s="1"/>
  <c r="B32" i="42"/>
  <c r="G30" i="46"/>
  <c r="I30" i="46" s="1"/>
  <c r="D31" i="46"/>
  <c r="E31" i="46"/>
  <c r="F40" i="22"/>
  <c r="G40" i="22" s="1"/>
  <c r="B39" i="23"/>
  <c r="F36" i="31"/>
  <c r="H36" i="31" s="1"/>
  <c r="B36" i="31"/>
  <c r="B33" i="39"/>
  <c r="F33" i="39"/>
  <c r="H33" i="39" s="1"/>
  <c r="B40" i="22"/>
  <c r="D35" i="44"/>
  <c r="E35" i="44"/>
  <c r="H36" i="27"/>
  <c r="I36" i="27" s="1"/>
  <c r="D37" i="27"/>
  <c r="E37" i="27"/>
  <c r="G41" i="4"/>
  <c r="G34" i="44"/>
  <c r="I34" i="44" s="1"/>
  <c r="H41" i="4"/>
  <c r="H44" i="7"/>
  <c r="I44" i="7" s="1"/>
  <c r="D45" i="7"/>
  <c r="E45" i="7"/>
  <c r="E42" i="5"/>
  <c r="B36" i="28"/>
  <c r="F36" i="28"/>
  <c r="H36" i="28" s="1"/>
  <c r="B41" i="3"/>
  <c r="F33" i="37"/>
  <c r="B33" i="37"/>
  <c r="F32" i="41"/>
  <c r="G32" i="41" s="1"/>
  <c r="B32" i="41"/>
  <c r="B32" i="43"/>
  <c r="F32" i="43"/>
  <c r="H32" i="43" s="1"/>
  <c r="I40" i="3"/>
  <c r="B33" i="38"/>
  <c r="F33" i="38"/>
  <c r="G33" i="38" s="1"/>
  <c r="H44" i="10"/>
  <c r="I44" i="10" s="1"/>
  <c r="D45" i="10"/>
  <c r="E45" i="10"/>
  <c r="E42" i="4" l="1"/>
  <c r="I33" i="45"/>
  <c r="F44" i="11"/>
  <c r="G44" i="11" s="1"/>
  <c r="B44" i="11"/>
  <c r="G43" i="9"/>
  <c r="D44" i="9"/>
  <c r="E44" i="9"/>
  <c r="H43" i="9"/>
  <c r="G41" i="3"/>
  <c r="G34" i="45"/>
  <c r="I34" i="45" s="1"/>
  <c r="F37" i="27"/>
  <c r="G37" i="27" s="1"/>
  <c r="G41" i="5"/>
  <c r="D43" i="8"/>
  <c r="B43" i="8" s="1"/>
  <c r="H41" i="5"/>
  <c r="H42" i="8"/>
  <c r="I42" i="8" s="1"/>
  <c r="E43" i="8"/>
  <c r="D35" i="45"/>
  <c r="B35" i="45" s="1"/>
  <c r="G40" i="25"/>
  <c r="H42" i="6"/>
  <c r="I42" i="6" s="1"/>
  <c r="E42" i="3"/>
  <c r="F42" i="3" s="1"/>
  <c r="G42" i="3" s="1"/>
  <c r="E41" i="25"/>
  <c r="F41" i="25" s="1"/>
  <c r="G41" i="25" s="1"/>
  <c r="H40" i="25"/>
  <c r="E40" i="23"/>
  <c r="G39" i="23"/>
  <c r="I39" i="23" s="1"/>
  <c r="D43" i="6"/>
  <c r="E43" i="6"/>
  <c r="D40" i="23"/>
  <c r="I41" i="4"/>
  <c r="F42" i="4"/>
  <c r="E43" i="4" s="1"/>
  <c r="H41" i="3"/>
  <c r="G32" i="40"/>
  <c r="I32" i="40" s="1"/>
  <c r="F35" i="44"/>
  <c r="H35" i="44" s="1"/>
  <c r="G33" i="37"/>
  <c r="D34" i="37"/>
  <c r="E34" i="37"/>
  <c r="E35" i="45"/>
  <c r="B35" i="44"/>
  <c r="H38" i="24"/>
  <c r="I38" i="24" s="1"/>
  <c r="D39" i="24"/>
  <c r="E39" i="24"/>
  <c r="H35" i="30"/>
  <c r="I35" i="30" s="1"/>
  <c r="D36" i="30"/>
  <c r="E36" i="30"/>
  <c r="F45" i="10"/>
  <c r="B45" i="10"/>
  <c r="B42" i="4"/>
  <c r="G32" i="42"/>
  <c r="I32" i="42" s="1"/>
  <c r="D33" i="42"/>
  <c r="E33" i="42"/>
  <c r="F45" i="7"/>
  <c r="G45" i="7" s="1"/>
  <c r="B45" i="7"/>
  <c r="G32" i="43"/>
  <c r="I32" i="43" s="1"/>
  <c r="D33" i="43"/>
  <c r="E33" i="43"/>
  <c r="G36" i="31"/>
  <c r="I36" i="31" s="1"/>
  <c r="D37" i="31"/>
  <c r="E37" i="31"/>
  <c r="H40" i="22"/>
  <c r="I40" i="22" s="1"/>
  <c r="D41" i="22"/>
  <c r="E41" i="22"/>
  <c r="G36" i="28"/>
  <c r="I36" i="28" s="1"/>
  <c r="D37" i="28"/>
  <c r="E37" i="28"/>
  <c r="H32" i="41"/>
  <c r="I32" i="41" s="1"/>
  <c r="D33" i="41"/>
  <c r="E33" i="41"/>
  <c r="B41" i="25"/>
  <c r="D33" i="40"/>
  <c r="E33" i="40"/>
  <c r="G33" i="39"/>
  <c r="I33" i="39" s="1"/>
  <c r="D34" i="39"/>
  <c r="E34" i="39"/>
  <c r="B42" i="5"/>
  <c r="F42" i="5"/>
  <c r="G42" i="5" s="1"/>
  <c r="H33" i="38"/>
  <c r="I33" i="38" s="1"/>
  <c r="D34" i="38"/>
  <c r="E34" i="38"/>
  <c r="H33" i="37"/>
  <c r="B37" i="27"/>
  <c r="B42" i="3"/>
  <c r="B31" i="46"/>
  <c r="F31" i="46"/>
  <c r="G31" i="46" s="1"/>
  <c r="H36" i="29"/>
  <c r="I36" i="29" s="1"/>
  <c r="D37" i="29"/>
  <c r="E37" i="29"/>
  <c r="H44" i="11"/>
  <c r="I44" i="11" s="1"/>
  <c r="D45" i="11"/>
  <c r="E45" i="11"/>
  <c r="I43" i="9" l="1"/>
  <c r="B44" i="9"/>
  <c r="F44" i="9"/>
  <c r="G44" i="9" s="1"/>
  <c r="I41" i="3"/>
  <c r="I41" i="5"/>
  <c r="F43" i="8"/>
  <c r="G43" i="8" s="1"/>
  <c r="E38" i="27"/>
  <c r="D38" i="27"/>
  <c r="B38" i="27" s="1"/>
  <c r="I40" i="25"/>
  <c r="H37" i="27"/>
  <c r="I37" i="27" s="1"/>
  <c r="F35" i="45"/>
  <c r="H35" i="45" s="1"/>
  <c r="H41" i="25"/>
  <c r="F40" i="23"/>
  <c r="G40" i="23" s="1"/>
  <c r="B40" i="23"/>
  <c r="E36" i="44"/>
  <c r="B43" i="6"/>
  <c r="F43" i="6"/>
  <c r="D42" i="25"/>
  <c r="B42" i="25" s="1"/>
  <c r="D36" i="44"/>
  <c r="H31" i="46"/>
  <c r="I31" i="46" s="1"/>
  <c r="D43" i="4"/>
  <c r="B43" i="4" s="1"/>
  <c r="F39" i="24"/>
  <c r="G39" i="24" s="1"/>
  <c r="H42" i="4"/>
  <c r="G42" i="4"/>
  <c r="E42" i="25"/>
  <c r="I33" i="37"/>
  <c r="F41" i="22"/>
  <c r="E42" i="22" s="1"/>
  <c r="G35" i="44"/>
  <c r="I35" i="44" s="1"/>
  <c r="F37" i="31"/>
  <c r="D38" i="31" s="1"/>
  <c r="G45" i="10"/>
  <c r="D46" i="10"/>
  <c r="E46" i="10"/>
  <c r="F37" i="29"/>
  <c r="G37" i="29" s="1"/>
  <c r="B34" i="38"/>
  <c r="F34" i="38"/>
  <c r="H34" i="38" s="1"/>
  <c r="F34" i="39"/>
  <c r="H34" i="39" s="1"/>
  <c r="B34" i="39"/>
  <c r="B37" i="31"/>
  <c r="B33" i="42"/>
  <c r="F33" i="42"/>
  <c r="H33" i="42" s="1"/>
  <c r="F36" i="30"/>
  <c r="G36" i="30" s="1"/>
  <c r="B37" i="29"/>
  <c r="F34" i="37"/>
  <c r="H34" i="37" s="1"/>
  <c r="B34" i="37"/>
  <c r="B33" i="41"/>
  <c r="F33" i="41"/>
  <c r="H33" i="41" s="1"/>
  <c r="H45" i="7"/>
  <c r="I45" i="7" s="1"/>
  <c r="D46" i="7"/>
  <c r="E46" i="7"/>
  <c r="B33" i="43"/>
  <c r="F33" i="43"/>
  <c r="G33" i="43" s="1"/>
  <c r="H42" i="3"/>
  <c r="I42" i="3" s="1"/>
  <c r="D43" i="3"/>
  <c r="E43" i="3"/>
  <c r="B36" i="30"/>
  <c r="H42" i="5"/>
  <c r="I42" i="5" s="1"/>
  <c r="D43" i="5"/>
  <c r="E43" i="5"/>
  <c r="B33" i="40"/>
  <c r="F33" i="40"/>
  <c r="G33" i="40" s="1"/>
  <c r="B39" i="24"/>
  <c r="F45" i="11"/>
  <c r="G45" i="11" s="1"/>
  <c r="B45" i="11"/>
  <c r="D32" i="46"/>
  <c r="E32" i="46"/>
  <c r="I41" i="25"/>
  <c r="B37" i="28"/>
  <c r="F37" i="28"/>
  <c r="G37" i="28" s="1"/>
  <c r="B41" i="22"/>
  <c r="H45" i="10"/>
  <c r="D42" i="22" l="1"/>
  <c r="F38" i="27"/>
  <c r="G38" i="27" s="1"/>
  <c r="H40" i="23"/>
  <c r="I40" i="23" s="1"/>
  <c r="G41" i="22"/>
  <c r="D41" i="23"/>
  <c r="B41" i="23" s="1"/>
  <c r="E44" i="8"/>
  <c r="H44" i="9"/>
  <c r="I44" i="9" s="1"/>
  <c r="D45" i="9"/>
  <c r="E45" i="9"/>
  <c r="E41" i="23"/>
  <c r="D44" i="8"/>
  <c r="B44" i="8" s="1"/>
  <c r="H41" i="22"/>
  <c r="H43" i="8"/>
  <c r="I43" i="8" s="1"/>
  <c r="G35" i="45"/>
  <c r="I35" i="45" s="1"/>
  <c r="D36" i="45"/>
  <c r="B36" i="45" s="1"/>
  <c r="F36" i="44"/>
  <c r="H36" i="44" s="1"/>
  <c r="B36" i="44"/>
  <c r="F43" i="4"/>
  <c r="G43" i="4" s="1"/>
  <c r="F42" i="25"/>
  <c r="G43" i="6"/>
  <c r="D44" i="6"/>
  <c r="H43" i="6"/>
  <c r="E44" i="6"/>
  <c r="H37" i="31"/>
  <c r="I42" i="4"/>
  <c r="G37" i="31"/>
  <c r="H39" i="24"/>
  <c r="I39" i="24" s="1"/>
  <c r="E40" i="24"/>
  <c r="D40" i="24"/>
  <c r="B40" i="24" s="1"/>
  <c r="E38" i="31"/>
  <c r="F38" i="31" s="1"/>
  <c r="G38" i="31" s="1"/>
  <c r="I45" i="10"/>
  <c r="F43" i="3"/>
  <c r="E44" i="3" s="1"/>
  <c r="F43" i="5"/>
  <c r="G43" i="5" s="1"/>
  <c r="F32" i="46"/>
  <c r="D33" i="46" s="1"/>
  <c r="D34" i="40"/>
  <c r="E34" i="40"/>
  <c r="G33" i="41"/>
  <c r="I33" i="41" s="1"/>
  <c r="D34" i="41"/>
  <c r="E34" i="41"/>
  <c r="H36" i="30"/>
  <c r="I36" i="30" s="1"/>
  <c r="D37" i="30"/>
  <c r="E37" i="30"/>
  <c r="B43" i="3"/>
  <c r="H45" i="11"/>
  <c r="I45" i="11" s="1"/>
  <c r="D46" i="11"/>
  <c r="E46" i="11"/>
  <c r="B43" i="5"/>
  <c r="H33" i="43"/>
  <c r="I33" i="43" s="1"/>
  <c r="D34" i="43"/>
  <c r="E34" i="43"/>
  <c r="B46" i="7"/>
  <c r="F46" i="7"/>
  <c r="G46" i="7" s="1"/>
  <c r="G33" i="42"/>
  <c r="I33" i="42" s="1"/>
  <c r="D34" i="42"/>
  <c r="I41" i="22"/>
  <c r="F46" i="10"/>
  <c r="G46" i="10" s="1"/>
  <c r="B46" i="10"/>
  <c r="G34" i="39"/>
  <c r="I34" i="39" s="1"/>
  <c r="D35" i="39"/>
  <c r="E35" i="39"/>
  <c r="B32" i="46"/>
  <c r="H37" i="28"/>
  <c r="I37" i="28" s="1"/>
  <c r="D38" i="28"/>
  <c r="E38" i="28"/>
  <c r="B38" i="31"/>
  <c r="E36" i="45"/>
  <c r="H37" i="29"/>
  <c r="I37" i="29" s="1"/>
  <c r="D38" i="29"/>
  <c r="E38" i="29"/>
  <c r="B42" i="22"/>
  <c r="F42" i="22"/>
  <c r="G42" i="22" s="1"/>
  <c r="G34" i="37"/>
  <c r="I34" i="37" s="1"/>
  <c r="D35" i="37"/>
  <c r="H33" i="40"/>
  <c r="I33" i="40" s="1"/>
  <c r="H38" i="27"/>
  <c r="I38" i="27" s="1"/>
  <c r="D39" i="27"/>
  <c r="E39" i="27"/>
  <c r="G34" i="38"/>
  <c r="I34" i="38" s="1"/>
  <c r="D35" i="38"/>
  <c r="G36" i="44" l="1"/>
  <c r="I36" i="44" s="1"/>
  <c r="F44" i="8"/>
  <c r="F36" i="45"/>
  <c r="G36" i="45" s="1"/>
  <c r="F41" i="23"/>
  <c r="G41" i="23" s="1"/>
  <c r="B45" i="9"/>
  <c r="F45" i="9"/>
  <c r="G45" i="9" s="1"/>
  <c r="E37" i="44"/>
  <c r="D37" i="44"/>
  <c r="B37" i="44" s="1"/>
  <c r="E33" i="46"/>
  <c r="F33" i="46" s="1"/>
  <c r="G33" i="46" s="1"/>
  <c r="G32" i="46"/>
  <c r="I43" i="6"/>
  <c r="F39" i="27"/>
  <c r="E40" i="27" s="1"/>
  <c r="F44" i="6"/>
  <c r="G44" i="6" s="1"/>
  <c r="I37" i="31"/>
  <c r="H32" i="46"/>
  <c r="D44" i="4"/>
  <c r="E44" i="4"/>
  <c r="H43" i="4"/>
  <c r="I43" i="4" s="1"/>
  <c r="B44" i="6"/>
  <c r="D39" i="31"/>
  <c r="B39" i="31" s="1"/>
  <c r="H38" i="31"/>
  <c r="I38" i="31" s="1"/>
  <c r="E39" i="31"/>
  <c r="E43" i="25"/>
  <c r="D43" i="25"/>
  <c r="H42" i="25"/>
  <c r="G42" i="25"/>
  <c r="F40" i="24"/>
  <c r="G40" i="24" s="1"/>
  <c r="G43" i="3"/>
  <c r="H43" i="3"/>
  <c r="D44" i="5"/>
  <c r="B44" i="5" s="1"/>
  <c r="H43" i="5"/>
  <c r="I43" i="5" s="1"/>
  <c r="E44" i="5"/>
  <c r="D44" i="3"/>
  <c r="E34" i="42"/>
  <c r="F34" i="42" s="1"/>
  <c r="H34" i="42" s="1"/>
  <c r="B34" i="42"/>
  <c r="F34" i="41"/>
  <c r="G34" i="41" s="1"/>
  <c r="B34" i="41"/>
  <c r="B38" i="28"/>
  <c r="F38" i="28"/>
  <c r="H38" i="28" s="1"/>
  <c r="F35" i="39"/>
  <c r="H35" i="39" s="1"/>
  <c r="B35" i="39"/>
  <c r="H46" i="10"/>
  <c r="I46" i="10" s="1"/>
  <c r="D47" i="10"/>
  <c r="E47" i="10"/>
  <c r="B46" i="11"/>
  <c r="F46" i="11"/>
  <c r="G46" i="11" s="1"/>
  <c r="F34" i="40"/>
  <c r="B34" i="40"/>
  <c r="B37" i="30"/>
  <c r="H46" i="7"/>
  <c r="I46" i="7" s="1"/>
  <c r="D47" i="7"/>
  <c r="E47" i="7"/>
  <c r="E35" i="38"/>
  <c r="F35" i="38" s="1"/>
  <c r="G35" i="38" s="1"/>
  <c r="B35" i="38"/>
  <c r="H36" i="45"/>
  <c r="I36" i="45" s="1"/>
  <c r="D37" i="45"/>
  <c r="B34" i="43"/>
  <c r="F34" i="43"/>
  <c r="B33" i="46"/>
  <c r="F38" i="29"/>
  <c r="G38" i="29" s="1"/>
  <c r="B38" i="29"/>
  <c r="D40" i="27"/>
  <c r="B39" i="27"/>
  <c r="E35" i="37"/>
  <c r="F35" i="37" s="1"/>
  <c r="B35" i="37"/>
  <c r="H42" i="22"/>
  <c r="I42" i="22" s="1"/>
  <c r="D43" i="22"/>
  <c r="E43" i="22"/>
  <c r="F37" i="30"/>
  <c r="G37" i="30" s="1"/>
  <c r="E42" i="23" l="1"/>
  <c r="D42" i="23"/>
  <c r="H41" i="23"/>
  <c r="I41" i="23" s="1"/>
  <c r="E37" i="45"/>
  <c r="H39" i="27"/>
  <c r="F37" i="44"/>
  <c r="D38" i="44" s="1"/>
  <c r="B38" i="44" s="1"/>
  <c r="H45" i="9"/>
  <c r="I45" i="9" s="1"/>
  <c r="E46" i="9"/>
  <c r="D46" i="9"/>
  <c r="G44" i="8"/>
  <c r="H44" i="8"/>
  <c r="D45" i="8"/>
  <c r="E45" i="8"/>
  <c r="E45" i="6"/>
  <c r="I32" i="46"/>
  <c r="G39" i="27"/>
  <c r="I39" i="27" s="1"/>
  <c r="H44" i="6"/>
  <c r="I44" i="6" s="1"/>
  <c r="D45" i="6"/>
  <c r="B45" i="6" s="1"/>
  <c r="I42" i="25"/>
  <c r="I43" i="3"/>
  <c r="F44" i="4"/>
  <c r="G44" i="4" s="1"/>
  <c r="H33" i="46"/>
  <c r="I33" i="46" s="1"/>
  <c r="F39" i="31"/>
  <c r="G39" i="31" s="1"/>
  <c r="B44" i="4"/>
  <c r="E41" i="24"/>
  <c r="D41" i="24"/>
  <c r="F43" i="25"/>
  <c r="B43" i="25"/>
  <c r="H40" i="24"/>
  <c r="I40" i="24" s="1"/>
  <c r="F40" i="27"/>
  <c r="G40" i="27" s="1"/>
  <c r="G35" i="39"/>
  <c r="I35" i="39" s="1"/>
  <c r="F44" i="5"/>
  <c r="E45" i="5" s="1"/>
  <c r="B44" i="3"/>
  <c r="F44" i="3"/>
  <c r="G44" i="3" s="1"/>
  <c r="D35" i="40"/>
  <c r="E35" i="40"/>
  <c r="D35" i="41"/>
  <c r="E35" i="41"/>
  <c r="H34" i="43"/>
  <c r="D35" i="43"/>
  <c r="E35" i="43"/>
  <c r="B47" i="10"/>
  <c r="F37" i="45"/>
  <c r="D38" i="45" s="1"/>
  <c r="G34" i="42"/>
  <c r="I34" i="42" s="1"/>
  <c r="D35" i="42"/>
  <c r="E35" i="42"/>
  <c r="H35" i="37"/>
  <c r="D36" i="37"/>
  <c r="D34" i="46"/>
  <c r="E34" i="46"/>
  <c r="B43" i="22"/>
  <c r="F43" i="22"/>
  <c r="G43" i="22" s="1"/>
  <c r="F47" i="7"/>
  <c r="H47" i="7" s="1"/>
  <c r="B47" i="7"/>
  <c r="H34" i="40"/>
  <c r="H46" i="11"/>
  <c r="I46" i="11" s="1"/>
  <c r="D47" i="11"/>
  <c r="E47" i="11"/>
  <c r="D36" i="39"/>
  <c r="E36" i="39"/>
  <c r="H37" i="30"/>
  <c r="I37" i="30" s="1"/>
  <c r="D38" i="30"/>
  <c r="E38" i="30"/>
  <c r="F42" i="23"/>
  <c r="G42" i="23" s="1"/>
  <c r="B42" i="23"/>
  <c r="H35" i="38"/>
  <c r="I35" i="38" s="1"/>
  <c r="D36" i="38"/>
  <c r="B37" i="45"/>
  <c r="B40" i="27"/>
  <c r="G34" i="40"/>
  <c r="G35" i="37"/>
  <c r="H38" i="29"/>
  <c r="I38" i="29" s="1"/>
  <c r="D39" i="29"/>
  <c r="E39" i="29"/>
  <c r="G34" i="43"/>
  <c r="F47" i="10"/>
  <c r="H47" i="10" s="1"/>
  <c r="G38" i="28"/>
  <c r="I38" i="28" s="1"/>
  <c r="D39" i="28"/>
  <c r="E39" i="28"/>
  <c r="H34" i="41"/>
  <c r="I34" i="41" s="1"/>
  <c r="E38" i="44" l="1"/>
  <c r="G37" i="44"/>
  <c r="H37" i="44"/>
  <c r="I37" i="44" s="1"/>
  <c r="I44" i="8"/>
  <c r="F41" i="24"/>
  <c r="H41" i="24" s="1"/>
  <c r="E41" i="27"/>
  <c r="F38" i="44"/>
  <c r="E39" i="44" s="1"/>
  <c r="D41" i="27"/>
  <c r="F41" i="27" s="1"/>
  <c r="B46" i="9"/>
  <c r="F46" i="9"/>
  <c r="G46" i="9" s="1"/>
  <c r="F45" i="8"/>
  <c r="B45" i="8"/>
  <c r="E45" i="4"/>
  <c r="F45" i="6"/>
  <c r="H45" i="6" s="1"/>
  <c r="H44" i="4"/>
  <c r="I44" i="4" s="1"/>
  <c r="D45" i="4"/>
  <c r="B45" i="4" s="1"/>
  <c r="E45" i="3"/>
  <c r="D45" i="3"/>
  <c r="B45" i="3" s="1"/>
  <c r="B41" i="24"/>
  <c r="I34" i="43"/>
  <c r="H44" i="5"/>
  <c r="D45" i="5"/>
  <c r="F45" i="5" s="1"/>
  <c r="H40" i="27"/>
  <c r="I40" i="27" s="1"/>
  <c r="G44" i="5"/>
  <c r="H43" i="25"/>
  <c r="D44" i="25"/>
  <c r="E44" i="25"/>
  <c r="D40" i="31"/>
  <c r="E40" i="31"/>
  <c r="H39" i="31"/>
  <c r="I39" i="31" s="1"/>
  <c r="G43" i="25"/>
  <c r="H44" i="3"/>
  <c r="I44" i="3" s="1"/>
  <c r="H37" i="45"/>
  <c r="G37" i="45"/>
  <c r="F34" i="46"/>
  <c r="G34" i="46" s="1"/>
  <c r="B35" i="43"/>
  <c r="F35" i="43"/>
  <c r="B34" i="46"/>
  <c r="F39" i="29"/>
  <c r="G39" i="29" s="1"/>
  <c r="B36" i="39"/>
  <c r="F36" i="39"/>
  <c r="H36" i="39" s="1"/>
  <c r="E36" i="37"/>
  <c r="F36" i="37" s="1"/>
  <c r="B36" i="37"/>
  <c r="F35" i="40"/>
  <c r="G35" i="40" s="1"/>
  <c r="B35" i="40"/>
  <c r="F38" i="30"/>
  <c r="G38" i="30" s="1"/>
  <c r="B38" i="30"/>
  <c r="B47" i="11"/>
  <c r="F47" i="11"/>
  <c r="H47" i="11" s="1"/>
  <c r="G47" i="7"/>
  <c r="I47" i="7" s="1"/>
  <c r="D48" i="7"/>
  <c r="E48" i="7"/>
  <c r="B35" i="41"/>
  <c r="F35" i="41"/>
  <c r="H35" i="41" s="1"/>
  <c r="B39" i="28"/>
  <c r="F39" i="28"/>
  <c r="E36" i="38"/>
  <c r="F36" i="38" s="1"/>
  <c r="B36" i="38"/>
  <c r="F35" i="42"/>
  <c r="G35" i="42" s="1"/>
  <c r="B35" i="42"/>
  <c r="B39" i="29"/>
  <c r="I34" i="40"/>
  <c r="H43" i="22"/>
  <c r="I43" i="22" s="1"/>
  <c r="D44" i="22"/>
  <c r="E44" i="22"/>
  <c r="I35" i="37"/>
  <c r="G47" i="10"/>
  <c r="I47" i="10" s="1"/>
  <c r="D48" i="10"/>
  <c r="E48" i="10"/>
  <c r="H42" i="23"/>
  <c r="I42" i="23" s="1"/>
  <c r="D43" i="23"/>
  <c r="E43" i="23"/>
  <c r="E38" i="45"/>
  <c r="F38" i="45" s="1"/>
  <c r="H38" i="45" s="1"/>
  <c r="B38" i="45"/>
  <c r="D42" i="24"/>
  <c r="D39" i="44" l="1"/>
  <c r="F39" i="44" s="1"/>
  <c r="E42" i="24"/>
  <c r="G41" i="24"/>
  <c r="I41" i="24" s="1"/>
  <c r="B41" i="27"/>
  <c r="H46" i="9"/>
  <c r="I46" i="9" s="1"/>
  <c r="E46" i="6"/>
  <c r="F45" i="4"/>
  <c r="H45" i="4" s="1"/>
  <c r="H38" i="44"/>
  <c r="G45" i="6"/>
  <c r="I45" i="6" s="1"/>
  <c r="D46" i="6"/>
  <c r="G38" i="44"/>
  <c r="E47" i="9"/>
  <c r="D47" i="9"/>
  <c r="G45" i="8"/>
  <c r="D46" i="8"/>
  <c r="E46" i="8"/>
  <c r="H45" i="8"/>
  <c r="I44" i="5"/>
  <c r="B39" i="44"/>
  <c r="I43" i="25"/>
  <c r="B45" i="5"/>
  <c r="I37" i="45"/>
  <c r="F45" i="3"/>
  <c r="E35" i="46"/>
  <c r="D46" i="5"/>
  <c r="B46" i="5" s="1"/>
  <c r="E46" i="5"/>
  <c r="G45" i="5"/>
  <c r="H45" i="5"/>
  <c r="F40" i="31"/>
  <c r="B40" i="31"/>
  <c r="F44" i="25"/>
  <c r="G44" i="25" s="1"/>
  <c r="B44" i="25"/>
  <c r="G39" i="44"/>
  <c r="D40" i="44"/>
  <c r="E40" i="44"/>
  <c r="H39" i="44"/>
  <c r="H34" i="46"/>
  <c r="I34" i="46" s="1"/>
  <c r="D35" i="46"/>
  <c r="B35" i="46" s="1"/>
  <c r="F43" i="23"/>
  <c r="G43" i="23" s="1"/>
  <c r="G36" i="38"/>
  <c r="D37" i="38"/>
  <c r="H36" i="38"/>
  <c r="H36" i="37"/>
  <c r="D37" i="37"/>
  <c r="G36" i="37"/>
  <c r="H41" i="27"/>
  <c r="D42" i="27"/>
  <c r="E42" i="27"/>
  <c r="H35" i="42"/>
  <c r="I35" i="42" s="1"/>
  <c r="D36" i="42"/>
  <c r="F48" i="7"/>
  <c r="G48" i="7" s="1"/>
  <c r="B48" i="7"/>
  <c r="H35" i="40"/>
  <c r="I35" i="40" s="1"/>
  <c r="D36" i="40"/>
  <c r="G36" i="39"/>
  <c r="I36" i="39" s="1"/>
  <c r="D37" i="39"/>
  <c r="E37" i="39"/>
  <c r="F44" i="22"/>
  <c r="B44" i="22"/>
  <c r="H35" i="43"/>
  <c r="D36" i="43"/>
  <c r="E36" i="43"/>
  <c r="B48" i="10"/>
  <c r="F48" i="10"/>
  <c r="G48" i="10" s="1"/>
  <c r="B43" i="23"/>
  <c r="G47" i="11"/>
  <c r="I47" i="11" s="1"/>
  <c r="D48" i="11"/>
  <c r="E48" i="11"/>
  <c r="H39" i="29"/>
  <c r="I39" i="29" s="1"/>
  <c r="D40" i="29"/>
  <c r="E40" i="29"/>
  <c r="H39" i="28"/>
  <c r="D40" i="28"/>
  <c r="E40" i="28"/>
  <c r="B42" i="24"/>
  <c r="F42" i="24"/>
  <c r="G42" i="24" s="1"/>
  <c r="G35" i="41"/>
  <c r="I35" i="41" s="1"/>
  <c r="D36" i="41"/>
  <c r="E36" i="41"/>
  <c r="G38" i="45"/>
  <c r="I38" i="45" s="1"/>
  <c r="D39" i="45"/>
  <c r="H38" i="30"/>
  <c r="I38" i="30" s="1"/>
  <c r="D39" i="30"/>
  <c r="E39" i="30"/>
  <c r="G41" i="27"/>
  <c r="G39" i="28"/>
  <c r="G35" i="43"/>
  <c r="I45" i="8" l="1"/>
  <c r="E46" i="4"/>
  <c r="D46" i="4"/>
  <c r="G45" i="4"/>
  <c r="F46" i="6"/>
  <c r="G46" i="6" s="1"/>
  <c r="I38" i="44"/>
  <c r="B46" i="6"/>
  <c r="F46" i="8"/>
  <c r="H46" i="8" s="1"/>
  <c r="B46" i="8"/>
  <c r="F47" i="9"/>
  <c r="G47" i="9" s="1"/>
  <c r="B47" i="9"/>
  <c r="I39" i="44"/>
  <c r="I45" i="5"/>
  <c r="F46" i="4"/>
  <c r="G46" i="4" s="1"/>
  <c r="H45" i="3"/>
  <c r="D46" i="3"/>
  <c r="E46" i="3"/>
  <c r="G45" i="3"/>
  <c r="F46" i="5"/>
  <c r="D47" i="5" s="1"/>
  <c r="B47" i="5" s="1"/>
  <c r="F40" i="44"/>
  <c r="G40" i="44" s="1"/>
  <c r="H44" i="25"/>
  <c r="I44" i="25" s="1"/>
  <c r="H43" i="23"/>
  <c r="I43" i="23" s="1"/>
  <c r="H40" i="31"/>
  <c r="G40" i="31"/>
  <c r="E41" i="31"/>
  <c r="D41" i="31"/>
  <c r="B40" i="44"/>
  <c r="D47" i="6"/>
  <c r="E45" i="25"/>
  <c r="D45" i="25"/>
  <c r="H46" i="6"/>
  <c r="I46" i="6" s="1"/>
  <c r="I41" i="27"/>
  <c r="I35" i="43"/>
  <c r="F35" i="46"/>
  <c r="E36" i="46" s="1"/>
  <c r="E44" i="23"/>
  <c r="F48" i="11"/>
  <c r="E49" i="11" s="1"/>
  <c r="D44" i="23"/>
  <c r="B44" i="23" s="1"/>
  <c r="I36" i="38"/>
  <c r="F39" i="30"/>
  <c r="H39" i="30" s="1"/>
  <c r="H44" i="22"/>
  <c r="D45" i="22"/>
  <c r="E45" i="22"/>
  <c r="B48" i="11"/>
  <c r="I36" i="37"/>
  <c r="F36" i="41"/>
  <c r="B36" i="41"/>
  <c r="B46" i="4"/>
  <c r="F37" i="39"/>
  <c r="G37" i="39" s="1"/>
  <c r="B37" i="39"/>
  <c r="H48" i="7"/>
  <c r="I48" i="7" s="1"/>
  <c r="D49" i="7"/>
  <c r="E49" i="7"/>
  <c r="F42" i="27"/>
  <c r="H42" i="27" s="1"/>
  <c r="B42" i="27"/>
  <c r="E37" i="37"/>
  <c r="F37" i="37" s="1"/>
  <c r="G37" i="37" s="1"/>
  <c r="B37" i="37"/>
  <c r="I45" i="4"/>
  <c r="B39" i="30"/>
  <c r="H48" i="10"/>
  <c r="I48" i="10" s="1"/>
  <c r="D49" i="10"/>
  <c r="E49" i="10"/>
  <c r="F36" i="43"/>
  <c r="H36" i="43" s="1"/>
  <c r="B36" i="43"/>
  <c r="E36" i="40"/>
  <c r="F36" i="40" s="1"/>
  <c r="H36" i="40" s="1"/>
  <c r="B36" i="40"/>
  <c r="B40" i="29"/>
  <c r="F40" i="29"/>
  <c r="G40" i="29" s="1"/>
  <c r="I39" i="28"/>
  <c r="G44" i="22"/>
  <c r="E37" i="38"/>
  <c r="F37" i="38" s="1"/>
  <c r="B37" i="38"/>
  <c r="E36" i="42"/>
  <c r="F36" i="42" s="1"/>
  <c r="H36" i="42" s="1"/>
  <c r="B36" i="42"/>
  <c r="F40" i="28"/>
  <c r="H40" i="28" s="1"/>
  <c r="B40" i="28"/>
  <c r="E39" i="45"/>
  <c r="F39" i="45" s="1"/>
  <c r="B39" i="45"/>
  <c r="H42" i="24"/>
  <c r="I42" i="24" s="1"/>
  <c r="D43" i="24"/>
  <c r="E43" i="24"/>
  <c r="E47" i="6" l="1"/>
  <c r="E47" i="4"/>
  <c r="D47" i="4"/>
  <c r="H46" i="4"/>
  <c r="H47" i="9"/>
  <c r="I47" i="9" s="1"/>
  <c r="D48" i="9"/>
  <c r="E48" i="9"/>
  <c r="G46" i="8"/>
  <c r="I46" i="8" s="1"/>
  <c r="D47" i="8"/>
  <c r="E47" i="8"/>
  <c r="H46" i="5"/>
  <c r="E47" i="5"/>
  <c r="F47" i="5" s="1"/>
  <c r="E48" i="5" s="1"/>
  <c r="H40" i="44"/>
  <c r="I40" i="44" s="1"/>
  <c r="D36" i="46"/>
  <c r="F36" i="46" s="1"/>
  <c r="I40" i="31"/>
  <c r="B46" i="3"/>
  <c r="F46" i="3"/>
  <c r="I45" i="3"/>
  <c r="D41" i="44"/>
  <c r="B41" i="44" s="1"/>
  <c r="G46" i="5"/>
  <c r="H35" i="46"/>
  <c r="G35" i="46"/>
  <c r="F47" i="6"/>
  <c r="G47" i="6" s="1"/>
  <c r="B47" i="6"/>
  <c r="B41" i="31"/>
  <c r="F41" i="31"/>
  <c r="F45" i="25"/>
  <c r="G45" i="25" s="1"/>
  <c r="B45" i="25"/>
  <c r="G39" i="30"/>
  <c r="I39" i="30" s="1"/>
  <c r="I46" i="4"/>
  <c r="D49" i="11"/>
  <c r="F49" i="11" s="1"/>
  <c r="G49" i="11" s="1"/>
  <c r="H48" i="11"/>
  <c r="E40" i="30"/>
  <c r="F49" i="7"/>
  <c r="G49" i="7" s="1"/>
  <c r="D40" i="30"/>
  <c r="B40" i="30" s="1"/>
  <c r="G48" i="11"/>
  <c r="F44" i="23"/>
  <c r="G39" i="45"/>
  <c r="H39" i="45"/>
  <c r="F47" i="4"/>
  <c r="H47" i="4" s="1"/>
  <c r="H37" i="38"/>
  <c r="D38" i="38"/>
  <c r="E38" i="38"/>
  <c r="G37" i="38"/>
  <c r="F49" i="10"/>
  <c r="H49" i="10" s="1"/>
  <c r="B49" i="10"/>
  <c r="G36" i="42"/>
  <c r="I36" i="42" s="1"/>
  <c r="D37" i="42"/>
  <c r="E37" i="42"/>
  <c r="H40" i="29"/>
  <c r="I40" i="29" s="1"/>
  <c r="D41" i="29"/>
  <c r="E41" i="29"/>
  <c r="G36" i="40"/>
  <c r="I36" i="40" s="1"/>
  <c r="D37" i="40"/>
  <c r="E37" i="40"/>
  <c r="B49" i="7"/>
  <c r="G36" i="41"/>
  <c r="D37" i="41"/>
  <c r="E37" i="41"/>
  <c r="H37" i="37"/>
  <c r="I37" i="37" s="1"/>
  <c r="D38" i="37"/>
  <c r="F45" i="22"/>
  <c r="G45" i="22" s="1"/>
  <c r="B45" i="22"/>
  <c r="E41" i="44"/>
  <c r="I44" i="22"/>
  <c r="D40" i="45"/>
  <c r="E40" i="45"/>
  <c r="B47" i="4"/>
  <c r="H37" i="39"/>
  <c r="I37" i="39" s="1"/>
  <c r="D38" i="39"/>
  <c r="E38" i="39"/>
  <c r="H36" i="41"/>
  <c r="G40" i="28"/>
  <c r="I40" i="28" s="1"/>
  <c r="D41" i="28"/>
  <c r="E41" i="28"/>
  <c r="G42" i="27"/>
  <c r="I42" i="27" s="1"/>
  <c r="D43" i="27"/>
  <c r="E43" i="27"/>
  <c r="B43" i="24"/>
  <c r="F43" i="24"/>
  <c r="G43" i="24" s="1"/>
  <c r="G36" i="43"/>
  <c r="I36" i="43" s="1"/>
  <c r="D37" i="43"/>
  <c r="E37" i="43"/>
  <c r="B36" i="46" l="1"/>
  <c r="I46" i="5"/>
  <c r="D48" i="5"/>
  <c r="B48" i="5" s="1"/>
  <c r="I35" i="46"/>
  <c r="H47" i="5"/>
  <c r="G47" i="5"/>
  <c r="B47" i="8"/>
  <c r="F47" i="8"/>
  <c r="B48" i="9"/>
  <c r="F48" i="9"/>
  <c r="G48" i="9" s="1"/>
  <c r="F48" i="5"/>
  <c r="E49" i="5" s="1"/>
  <c r="G46" i="3"/>
  <c r="H46" i="3"/>
  <c r="D47" i="3"/>
  <c r="E47" i="3"/>
  <c r="F41" i="44"/>
  <c r="H41" i="44" s="1"/>
  <c r="B49" i="11"/>
  <c r="I39" i="45"/>
  <c r="I48" i="11"/>
  <c r="E48" i="6"/>
  <c r="D48" i="6"/>
  <c r="G41" i="31"/>
  <c r="E42" i="31"/>
  <c r="H41" i="31"/>
  <c r="D42" i="31"/>
  <c r="H47" i="6"/>
  <c r="I47" i="6" s="1"/>
  <c r="H45" i="25"/>
  <c r="I45" i="25" s="1"/>
  <c r="D46" i="25"/>
  <c r="E46" i="25"/>
  <c r="F43" i="27"/>
  <c r="H43" i="27" s="1"/>
  <c r="E50" i="7"/>
  <c r="D50" i="7"/>
  <c r="F40" i="30"/>
  <c r="G40" i="30" s="1"/>
  <c r="E48" i="4"/>
  <c r="H48" i="5"/>
  <c r="H49" i="7"/>
  <c r="I49" i="7" s="1"/>
  <c r="G47" i="4"/>
  <c r="I47" i="4" s="1"/>
  <c r="G48" i="5"/>
  <c r="E45" i="23"/>
  <c r="H44" i="23"/>
  <c r="D45" i="23"/>
  <c r="G44" i="23"/>
  <c r="D48" i="4"/>
  <c r="I37" i="38"/>
  <c r="H43" i="24"/>
  <c r="I43" i="24" s="1"/>
  <c r="D44" i="24"/>
  <c r="E44" i="24"/>
  <c r="B41" i="29"/>
  <c r="F41" i="29"/>
  <c r="G41" i="29" s="1"/>
  <c r="D37" i="46"/>
  <c r="E37" i="46"/>
  <c r="B41" i="28"/>
  <c r="F41" i="28"/>
  <c r="G41" i="28" s="1"/>
  <c r="F40" i="45"/>
  <c r="H40" i="45" s="1"/>
  <c r="F37" i="41"/>
  <c r="G37" i="41" s="1"/>
  <c r="B37" i="41"/>
  <c r="H49" i="11"/>
  <c r="I49" i="11" s="1"/>
  <c r="D50" i="11"/>
  <c r="E50" i="11"/>
  <c r="H45" i="22"/>
  <c r="I45" i="22" s="1"/>
  <c r="D46" i="22"/>
  <c r="E46" i="22"/>
  <c r="B37" i="43"/>
  <c r="F37" i="43"/>
  <c r="H37" i="43" s="1"/>
  <c r="B40" i="45"/>
  <c r="E38" i="37"/>
  <c r="F38" i="37" s="1"/>
  <c r="H38" i="37" s="1"/>
  <c r="B38" i="37"/>
  <c r="H36" i="46"/>
  <c r="F38" i="38"/>
  <c r="G38" i="38" s="1"/>
  <c r="B38" i="38"/>
  <c r="I36" i="41"/>
  <c r="B37" i="40"/>
  <c r="F37" i="40"/>
  <c r="G37" i="40" s="1"/>
  <c r="G49" i="10"/>
  <c r="I49" i="10" s="1"/>
  <c r="D50" i="10"/>
  <c r="E50" i="10"/>
  <c r="G36" i="46"/>
  <c r="B38" i="39"/>
  <c r="F38" i="39"/>
  <c r="G38" i="39" s="1"/>
  <c r="B43" i="27"/>
  <c r="B37" i="42"/>
  <c r="F37" i="42"/>
  <c r="G37" i="42" s="1"/>
  <c r="F48" i="4" l="1"/>
  <c r="G48" i="4" s="1"/>
  <c r="D49" i="5"/>
  <c r="B49" i="5" s="1"/>
  <c r="H48" i="9"/>
  <c r="I48" i="9" s="1"/>
  <c r="I48" i="5"/>
  <c r="D49" i="9"/>
  <c r="E49" i="9"/>
  <c r="H47" i="8"/>
  <c r="G47" i="8"/>
  <c r="D48" i="8"/>
  <c r="E48" i="8"/>
  <c r="I47" i="5"/>
  <c r="F49" i="5"/>
  <c r="G49" i="5" s="1"/>
  <c r="E42" i="44"/>
  <c r="I46" i="3"/>
  <c r="D42" i="44"/>
  <c r="B42" i="44" s="1"/>
  <c r="G41" i="44"/>
  <c r="I41" i="44" s="1"/>
  <c r="E41" i="30"/>
  <c r="D41" i="30"/>
  <c r="B41" i="30" s="1"/>
  <c r="H40" i="30"/>
  <c r="I40" i="30" s="1"/>
  <c r="B47" i="3"/>
  <c r="F47" i="3"/>
  <c r="G43" i="27"/>
  <c r="I43" i="27" s="1"/>
  <c r="E44" i="27"/>
  <c r="D44" i="27"/>
  <c r="I41" i="31"/>
  <c r="B46" i="25"/>
  <c r="F46" i="25"/>
  <c r="H46" i="25" s="1"/>
  <c r="B48" i="6"/>
  <c r="F48" i="6"/>
  <c r="B42" i="31"/>
  <c r="F42" i="31"/>
  <c r="F50" i="7"/>
  <c r="B50" i="7"/>
  <c r="F45" i="23"/>
  <c r="B45" i="23"/>
  <c r="B48" i="4"/>
  <c r="I44" i="23"/>
  <c r="D39" i="37"/>
  <c r="E39" i="37"/>
  <c r="D41" i="45"/>
  <c r="E41" i="45"/>
  <c r="H37" i="40"/>
  <c r="I37" i="40" s="1"/>
  <c r="D38" i="40"/>
  <c r="E38" i="40"/>
  <c r="G40" i="45"/>
  <c r="I40" i="45" s="1"/>
  <c r="F44" i="24"/>
  <c r="B44" i="24"/>
  <c r="H41" i="28"/>
  <c r="I41" i="28" s="1"/>
  <c r="D42" i="28"/>
  <c r="E42" i="28"/>
  <c r="H38" i="39"/>
  <c r="I38" i="39" s="1"/>
  <c r="D39" i="39"/>
  <c r="E39" i="39"/>
  <c r="H38" i="38"/>
  <c r="I38" i="38" s="1"/>
  <c r="D39" i="38"/>
  <c r="E39" i="38"/>
  <c r="H49" i="5"/>
  <c r="H37" i="41"/>
  <c r="I37" i="41" s="1"/>
  <c r="D38" i="41"/>
  <c r="H37" i="42"/>
  <c r="I37" i="42" s="1"/>
  <c r="D38" i="42"/>
  <c r="E38" i="42"/>
  <c r="B46" i="22"/>
  <c r="F46" i="22"/>
  <c r="G46" i="22" s="1"/>
  <c r="B37" i="46"/>
  <c r="F37" i="46"/>
  <c r="B50" i="11"/>
  <c r="F50" i="11"/>
  <c r="G50" i="11" s="1"/>
  <c r="H48" i="4"/>
  <c r="I48" i="4" s="1"/>
  <c r="D49" i="4"/>
  <c r="E49" i="4"/>
  <c r="H41" i="29"/>
  <c r="I41" i="29" s="1"/>
  <c r="D42" i="29"/>
  <c r="E42" i="29"/>
  <c r="I36" i="46"/>
  <c r="G37" i="43"/>
  <c r="I37" i="43" s="1"/>
  <c r="D38" i="43"/>
  <c r="E38" i="43"/>
  <c r="B50" i="10"/>
  <c r="F50" i="10"/>
  <c r="G50" i="10" s="1"/>
  <c r="G38" i="37"/>
  <c r="I38" i="37" s="1"/>
  <c r="I73" i="5" l="1"/>
  <c r="E50" i="5"/>
  <c r="D50" i="5"/>
  <c r="I47" i="8"/>
  <c r="F48" i="8"/>
  <c r="B48" i="8"/>
  <c r="B49" i="9"/>
  <c r="F49" i="9"/>
  <c r="H49" i="9" s="1"/>
  <c r="F42" i="44"/>
  <c r="G42" i="44" s="1"/>
  <c r="F41" i="30"/>
  <c r="H41" i="30" s="1"/>
  <c r="F44" i="27"/>
  <c r="H44" i="27" s="1"/>
  <c r="G47" i="3"/>
  <c r="E48" i="3"/>
  <c r="D48" i="3"/>
  <c r="H47" i="3"/>
  <c r="B44" i="27"/>
  <c r="E49" i="6"/>
  <c r="D49" i="6"/>
  <c r="H48" i="6"/>
  <c r="F42" i="28"/>
  <c r="H42" i="28" s="1"/>
  <c r="G46" i="25"/>
  <c r="I46" i="25" s="1"/>
  <c r="D47" i="25"/>
  <c r="E47" i="25"/>
  <c r="G48" i="6"/>
  <c r="H42" i="31"/>
  <c r="E43" i="31"/>
  <c r="D43" i="31"/>
  <c r="G42" i="31"/>
  <c r="F42" i="29"/>
  <c r="G42" i="29" s="1"/>
  <c r="D51" i="7"/>
  <c r="E51" i="7"/>
  <c r="H50" i="7"/>
  <c r="G50" i="7"/>
  <c r="G45" i="23"/>
  <c r="H45" i="23"/>
  <c r="D46" i="23"/>
  <c r="E46" i="23"/>
  <c r="B39" i="38"/>
  <c r="F39" i="38"/>
  <c r="H39" i="38" s="1"/>
  <c r="B38" i="40"/>
  <c r="F38" i="40"/>
  <c r="H38" i="40" s="1"/>
  <c r="H46" i="22"/>
  <c r="I46" i="22" s="1"/>
  <c r="D47" i="22"/>
  <c r="E47" i="22"/>
  <c r="H44" i="24"/>
  <c r="D45" i="24"/>
  <c r="E45" i="24"/>
  <c r="H50" i="10"/>
  <c r="I50" i="10" s="1"/>
  <c r="D51" i="10"/>
  <c r="E51" i="10"/>
  <c r="F49" i="4"/>
  <c r="G49" i="4" s="1"/>
  <c r="B49" i="4"/>
  <c r="F41" i="45"/>
  <c r="G41" i="45" s="1"/>
  <c r="B39" i="37"/>
  <c r="F39" i="37"/>
  <c r="G39" i="37" s="1"/>
  <c r="B41" i="45"/>
  <c r="B42" i="29"/>
  <c r="B38" i="42"/>
  <c r="F38" i="42"/>
  <c r="H38" i="42" s="1"/>
  <c r="B50" i="5"/>
  <c r="B42" i="28"/>
  <c r="D43" i="28"/>
  <c r="E43" i="28"/>
  <c r="F38" i="43"/>
  <c r="G38" i="43" s="1"/>
  <c r="B38" i="43"/>
  <c r="H50" i="11"/>
  <c r="I50" i="11" s="1"/>
  <c r="D51" i="11"/>
  <c r="E51" i="11"/>
  <c r="G37" i="46"/>
  <c r="D38" i="46"/>
  <c r="E38" i="46"/>
  <c r="B39" i="39"/>
  <c r="F39" i="39"/>
  <c r="H39" i="39" s="1"/>
  <c r="E38" i="41"/>
  <c r="F38" i="41" s="1"/>
  <c r="B38" i="41"/>
  <c r="H37" i="46"/>
  <c r="G44" i="27"/>
  <c r="D45" i="27"/>
  <c r="E45" i="27"/>
  <c r="G44" i="24"/>
  <c r="I47" i="3" l="1"/>
  <c r="F50" i="5"/>
  <c r="E42" i="30"/>
  <c r="E43" i="44"/>
  <c r="D43" i="44"/>
  <c r="H42" i="44"/>
  <c r="I42" i="44" s="1"/>
  <c r="G41" i="30"/>
  <c r="I41" i="30" s="1"/>
  <c r="G49" i="9"/>
  <c r="I49" i="9" s="1"/>
  <c r="D50" i="9"/>
  <c r="E50" i="9"/>
  <c r="D42" i="30"/>
  <c r="B42" i="30" s="1"/>
  <c r="H48" i="8"/>
  <c r="D49" i="8"/>
  <c r="E49" i="8"/>
  <c r="G48" i="8"/>
  <c r="G42" i="28"/>
  <c r="F48" i="3"/>
  <c r="B48" i="3"/>
  <c r="G39" i="39"/>
  <c r="I39" i="39" s="1"/>
  <c r="I42" i="31"/>
  <c r="I44" i="27"/>
  <c r="I48" i="6"/>
  <c r="F47" i="25"/>
  <c r="G47" i="25" s="1"/>
  <c r="B47" i="25"/>
  <c r="E43" i="29"/>
  <c r="B43" i="31"/>
  <c r="F43" i="31"/>
  <c r="D43" i="29"/>
  <c r="H42" i="29"/>
  <c r="I42" i="29" s="1"/>
  <c r="F49" i="6"/>
  <c r="G49" i="6" s="1"/>
  <c r="B49" i="6"/>
  <c r="I50" i="7"/>
  <c r="I45" i="23"/>
  <c r="F43" i="28"/>
  <c r="D44" i="28" s="1"/>
  <c r="F47" i="22"/>
  <c r="E48" i="22" s="1"/>
  <c r="F51" i="7"/>
  <c r="G51" i="7" s="1"/>
  <c r="B51" i="7"/>
  <c r="F46" i="23"/>
  <c r="B46" i="23"/>
  <c r="I37" i="46"/>
  <c r="H41" i="45"/>
  <c r="I41" i="45" s="1"/>
  <c r="I44" i="24"/>
  <c r="H38" i="41"/>
  <c r="D39" i="41"/>
  <c r="E39" i="41"/>
  <c r="D42" i="45"/>
  <c r="E42" i="45"/>
  <c r="G38" i="40"/>
  <c r="I38" i="40" s="1"/>
  <c r="D39" i="40"/>
  <c r="E39" i="40"/>
  <c r="F45" i="27"/>
  <c r="G45" i="27" s="1"/>
  <c r="B45" i="27"/>
  <c r="H39" i="37"/>
  <c r="I39" i="37" s="1"/>
  <c r="D40" i="37"/>
  <c r="E40" i="37"/>
  <c r="B43" i="28"/>
  <c r="H49" i="4"/>
  <c r="I49" i="4" s="1"/>
  <c r="D50" i="4"/>
  <c r="E50" i="4"/>
  <c r="B47" i="22"/>
  <c r="B38" i="46"/>
  <c r="F38" i="46"/>
  <c r="H38" i="46" s="1"/>
  <c r="F51" i="11"/>
  <c r="H51" i="11" s="1"/>
  <c r="I42" i="28"/>
  <c r="H50" i="5"/>
  <c r="D51" i="5"/>
  <c r="E51" i="5"/>
  <c r="D40" i="39"/>
  <c r="E40" i="39"/>
  <c r="H38" i="43"/>
  <c r="I38" i="43" s="1"/>
  <c r="D39" i="43"/>
  <c r="G38" i="42"/>
  <c r="I38" i="42" s="1"/>
  <c r="D39" i="42"/>
  <c r="B51" i="11"/>
  <c r="B51" i="10"/>
  <c r="F51" i="10"/>
  <c r="G39" i="38"/>
  <c r="I39" i="38" s="1"/>
  <c r="D40" i="38"/>
  <c r="E40" i="38"/>
  <c r="B45" i="24"/>
  <c r="F45" i="24"/>
  <c r="H45" i="24" s="1"/>
  <c r="G38" i="41"/>
  <c r="G50" i="5"/>
  <c r="F43" i="44" l="1"/>
  <c r="G43" i="44" s="1"/>
  <c r="I48" i="8"/>
  <c r="B43" i="44"/>
  <c r="F42" i="30"/>
  <c r="H42" i="30" s="1"/>
  <c r="F43" i="29"/>
  <c r="G43" i="29" s="1"/>
  <c r="F49" i="8"/>
  <c r="G49" i="8" s="1"/>
  <c r="B49" i="8"/>
  <c r="B50" i="9"/>
  <c r="F50" i="9"/>
  <c r="H50" i="9" s="1"/>
  <c r="B43" i="29"/>
  <c r="I38" i="41"/>
  <c r="F50" i="4"/>
  <c r="G42" i="30"/>
  <c r="I42" i="30" s="1"/>
  <c r="G48" i="3"/>
  <c r="H48" i="3"/>
  <c r="D49" i="3"/>
  <c r="E49" i="3"/>
  <c r="G43" i="28"/>
  <c r="H43" i="28"/>
  <c r="H47" i="22"/>
  <c r="G43" i="31"/>
  <c r="D44" i="31"/>
  <c r="E44" i="31"/>
  <c r="H43" i="31"/>
  <c r="E50" i="6"/>
  <c r="D50" i="6"/>
  <c r="D48" i="22"/>
  <c r="F48" i="22" s="1"/>
  <c r="G48" i="22" s="1"/>
  <c r="G47" i="22"/>
  <c r="H49" i="6"/>
  <c r="I49" i="6" s="1"/>
  <c r="H47" i="25"/>
  <c r="I47" i="25" s="1"/>
  <c r="D48" i="25"/>
  <c r="E48" i="25"/>
  <c r="E44" i="28"/>
  <c r="F44" i="28" s="1"/>
  <c r="H44" i="28" s="1"/>
  <c r="E52" i="7"/>
  <c r="H51" i="7"/>
  <c r="I51" i="7" s="1"/>
  <c r="D52" i="7"/>
  <c r="E47" i="23"/>
  <c r="G46" i="23"/>
  <c r="D47" i="23"/>
  <c r="G38" i="46"/>
  <c r="I38" i="46" s="1"/>
  <c r="H46" i="23"/>
  <c r="H43" i="44"/>
  <c r="I43" i="44" s="1"/>
  <c r="E39" i="42"/>
  <c r="F39" i="42" s="1"/>
  <c r="D40" i="42" s="1"/>
  <c r="B39" i="42"/>
  <c r="B50" i="4"/>
  <c r="G50" i="4"/>
  <c r="B39" i="40"/>
  <c r="F39" i="40"/>
  <c r="B44" i="28"/>
  <c r="B51" i="5"/>
  <c r="F51" i="5"/>
  <c r="G51" i="5" s="1"/>
  <c r="E39" i="43"/>
  <c r="F39" i="43" s="1"/>
  <c r="B39" i="43"/>
  <c r="D39" i="46"/>
  <c r="E39" i="46"/>
  <c r="E44" i="44"/>
  <c r="G45" i="24"/>
  <c r="I45" i="24" s="1"/>
  <c r="D46" i="24"/>
  <c r="E46" i="24"/>
  <c r="H51" i="10"/>
  <c r="D52" i="10"/>
  <c r="E52" i="10"/>
  <c r="H50" i="4"/>
  <c r="D51" i="4"/>
  <c r="E51" i="4"/>
  <c r="B48" i="22"/>
  <c r="B39" i="41"/>
  <c r="F39" i="41"/>
  <c r="H39" i="41" s="1"/>
  <c r="B42" i="45"/>
  <c r="B40" i="38"/>
  <c r="F40" i="38"/>
  <c r="B40" i="39"/>
  <c r="F40" i="39"/>
  <c r="H40" i="39" s="1"/>
  <c r="I47" i="22"/>
  <c r="G51" i="11"/>
  <c r="I51" i="11" s="1"/>
  <c r="D52" i="11"/>
  <c r="E52" i="11"/>
  <c r="G51" i="10"/>
  <c r="F40" i="37"/>
  <c r="D41" i="37" s="1"/>
  <c r="B40" i="37"/>
  <c r="H45" i="27"/>
  <c r="I45" i="27" s="1"/>
  <c r="D46" i="27"/>
  <c r="E46" i="27"/>
  <c r="F42" i="45"/>
  <c r="D43" i="45" s="1"/>
  <c r="D44" i="44" l="1"/>
  <c r="H49" i="8"/>
  <c r="D43" i="30"/>
  <c r="B43" i="30" s="1"/>
  <c r="E43" i="30"/>
  <c r="I43" i="31"/>
  <c r="E44" i="29"/>
  <c r="H43" i="29"/>
  <c r="I43" i="29" s="1"/>
  <c r="D44" i="29"/>
  <c r="B44" i="29" s="1"/>
  <c r="I48" i="3"/>
  <c r="I49" i="8"/>
  <c r="G50" i="9"/>
  <c r="I50" i="9" s="1"/>
  <c r="D51" i="9"/>
  <c r="E51" i="9"/>
  <c r="I50" i="4"/>
  <c r="E50" i="8"/>
  <c r="D50" i="8"/>
  <c r="I43" i="28"/>
  <c r="F49" i="3"/>
  <c r="B49" i="3"/>
  <c r="I46" i="23"/>
  <c r="F46" i="24"/>
  <c r="G46" i="24" s="1"/>
  <c r="F48" i="25"/>
  <c r="H48" i="25" s="1"/>
  <c r="B48" i="25"/>
  <c r="B44" i="31"/>
  <c r="F44" i="31"/>
  <c r="F50" i="6"/>
  <c r="G50" i="6" s="1"/>
  <c r="B50" i="6"/>
  <c r="F52" i="7"/>
  <c r="B52" i="7"/>
  <c r="B47" i="23"/>
  <c r="F47" i="23"/>
  <c r="F44" i="44"/>
  <c r="E45" i="44" s="1"/>
  <c r="F52" i="10"/>
  <c r="E53" i="10" s="1"/>
  <c r="G40" i="37"/>
  <c r="I51" i="10"/>
  <c r="H42" i="45"/>
  <c r="F51" i="4"/>
  <c r="H51" i="4" s="1"/>
  <c r="G39" i="43"/>
  <c r="D40" i="43"/>
  <c r="E40" i="43"/>
  <c r="H39" i="43"/>
  <c r="G39" i="40"/>
  <c r="D40" i="40"/>
  <c r="G40" i="39"/>
  <c r="I40" i="39" s="1"/>
  <c r="D41" i="39"/>
  <c r="E41" i="39"/>
  <c r="B52" i="11"/>
  <c r="F52" i="11"/>
  <c r="G52" i="11" s="1"/>
  <c r="E43" i="45"/>
  <c r="F43" i="45" s="1"/>
  <c r="B43" i="45"/>
  <c r="G42" i="45"/>
  <c r="B44" i="44"/>
  <c r="E41" i="37"/>
  <c r="F41" i="37" s="1"/>
  <c r="G41" i="37" s="1"/>
  <c r="B41" i="37"/>
  <c r="H51" i="5"/>
  <c r="D52" i="5"/>
  <c r="E52" i="5"/>
  <c r="B51" i="4"/>
  <c r="G39" i="41"/>
  <c r="I39" i="41" s="1"/>
  <c r="D40" i="41"/>
  <c r="B46" i="24"/>
  <c r="G44" i="28"/>
  <c r="I44" i="28" s="1"/>
  <c r="D45" i="28"/>
  <c r="E45" i="28"/>
  <c r="H39" i="42"/>
  <c r="H40" i="38"/>
  <c r="D41" i="38"/>
  <c r="E41" i="38"/>
  <c r="E40" i="42"/>
  <c r="F40" i="42" s="1"/>
  <c r="B40" i="42"/>
  <c r="H48" i="22"/>
  <c r="I48" i="22" s="1"/>
  <c r="D49" i="22"/>
  <c r="E49" i="22"/>
  <c r="B39" i="46"/>
  <c r="F39" i="46"/>
  <c r="H39" i="46" s="1"/>
  <c r="B46" i="27"/>
  <c r="F46" i="27"/>
  <c r="G46" i="27" s="1"/>
  <c r="H40" i="37"/>
  <c r="G40" i="38"/>
  <c r="B52" i="10"/>
  <c r="H39" i="40"/>
  <c r="G39" i="42"/>
  <c r="F43" i="30" l="1"/>
  <c r="D47" i="24"/>
  <c r="F44" i="29"/>
  <c r="G48" i="25"/>
  <c r="H46" i="24"/>
  <c r="I46" i="24" s="1"/>
  <c r="F50" i="8"/>
  <c r="B50" i="8"/>
  <c r="F51" i="9"/>
  <c r="H51" i="9" s="1"/>
  <c r="B51" i="9"/>
  <c r="D53" i="10"/>
  <c r="B53" i="10" s="1"/>
  <c r="H44" i="44"/>
  <c r="I40" i="37"/>
  <c r="E47" i="24"/>
  <c r="G49" i="3"/>
  <c r="E50" i="3"/>
  <c r="D50" i="3"/>
  <c r="H49" i="3"/>
  <c r="I39" i="40"/>
  <c r="H50" i="6"/>
  <c r="I50" i="6" s="1"/>
  <c r="E51" i="6"/>
  <c r="D51" i="6"/>
  <c r="G44" i="31"/>
  <c r="E45" i="31"/>
  <c r="D45" i="31"/>
  <c r="H44" i="31"/>
  <c r="I48" i="25"/>
  <c r="D45" i="44"/>
  <c r="B45" i="44" s="1"/>
  <c r="E49" i="25"/>
  <c r="D49" i="25"/>
  <c r="H52" i="10"/>
  <c r="G52" i="10"/>
  <c r="G44" i="44"/>
  <c r="G52" i="7"/>
  <c r="D53" i="7"/>
  <c r="H52" i="7"/>
  <c r="E53" i="7"/>
  <c r="I40" i="38"/>
  <c r="H47" i="23"/>
  <c r="E48" i="23"/>
  <c r="G47" i="23"/>
  <c r="D48" i="23"/>
  <c r="I42" i="45"/>
  <c r="G51" i="4"/>
  <c r="I51" i="4" s="1"/>
  <c r="E52" i="4"/>
  <c r="I39" i="43"/>
  <c r="I39" i="42"/>
  <c r="D52" i="4"/>
  <c r="B52" i="4" s="1"/>
  <c r="G39" i="46"/>
  <c r="I39" i="46" s="1"/>
  <c r="F45" i="28"/>
  <c r="G45" i="28" s="1"/>
  <c r="H43" i="45"/>
  <c r="D44" i="45"/>
  <c r="E44" i="45"/>
  <c r="G43" i="45"/>
  <c r="E40" i="40"/>
  <c r="F40" i="40" s="1"/>
  <c r="B40" i="40"/>
  <c r="E40" i="41"/>
  <c r="F40" i="41" s="1"/>
  <c r="B40" i="41"/>
  <c r="H44" i="29"/>
  <c r="D45" i="29"/>
  <c r="E45" i="29"/>
  <c r="F41" i="39"/>
  <c r="H41" i="39" s="1"/>
  <c r="B41" i="39"/>
  <c r="G40" i="42"/>
  <c r="D41" i="42"/>
  <c r="B41" i="38"/>
  <c r="F41" i="38"/>
  <c r="H41" i="38" s="1"/>
  <c r="H52" i="11"/>
  <c r="I52" i="11" s="1"/>
  <c r="D53" i="11"/>
  <c r="E53" i="11"/>
  <c r="F52" i="5"/>
  <c r="G52" i="5" s="1"/>
  <c r="B52" i="5"/>
  <c r="B47" i="24"/>
  <c r="H40" i="42"/>
  <c r="B40" i="43"/>
  <c r="F40" i="43"/>
  <c r="H40" i="43" s="1"/>
  <c r="B49" i="22"/>
  <c r="F49" i="22"/>
  <c r="G49" i="22" s="1"/>
  <c r="H46" i="27"/>
  <c r="I46" i="27" s="1"/>
  <c r="D47" i="27"/>
  <c r="E47" i="27"/>
  <c r="D40" i="46"/>
  <c r="E40" i="46"/>
  <c r="H41" i="37"/>
  <c r="I41" i="37" s="1"/>
  <c r="D42" i="37"/>
  <c r="E42" i="37"/>
  <c r="G44" i="29"/>
  <c r="B45" i="28"/>
  <c r="F47" i="24" l="1"/>
  <c r="E44" i="30"/>
  <c r="D44" i="30"/>
  <c r="H43" i="30"/>
  <c r="G43" i="30"/>
  <c r="F45" i="44"/>
  <c r="H45" i="44" s="1"/>
  <c r="F53" i="11"/>
  <c r="H53" i="11" s="1"/>
  <c r="I44" i="44"/>
  <c r="F53" i="10"/>
  <c r="H53" i="10" s="1"/>
  <c r="G51" i="9"/>
  <c r="I51" i="9" s="1"/>
  <c r="D52" i="9"/>
  <c r="E52" i="9"/>
  <c r="E51" i="8"/>
  <c r="D51" i="8"/>
  <c r="H50" i="8"/>
  <c r="G50" i="8"/>
  <c r="E46" i="28"/>
  <c r="I47" i="23"/>
  <c r="I44" i="31"/>
  <c r="I49" i="3"/>
  <c r="F50" i="3"/>
  <c r="H50" i="3" s="1"/>
  <c r="B50" i="3"/>
  <c r="I52" i="10"/>
  <c r="B45" i="31"/>
  <c r="F45" i="31"/>
  <c r="H45" i="31" s="1"/>
  <c r="B49" i="25"/>
  <c r="F49" i="25"/>
  <c r="G49" i="25" s="1"/>
  <c r="B51" i="6"/>
  <c r="F51" i="6"/>
  <c r="F53" i="7"/>
  <c r="D54" i="7" s="1"/>
  <c r="I52" i="7"/>
  <c r="B53" i="7"/>
  <c r="B48" i="23"/>
  <c r="F48" i="23"/>
  <c r="G48" i="23" s="1"/>
  <c r="F52" i="4"/>
  <c r="G52" i="4" s="1"/>
  <c r="D46" i="28"/>
  <c r="H45" i="28"/>
  <c r="I45" i="28" s="1"/>
  <c r="D41" i="41"/>
  <c r="E41" i="41"/>
  <c r="H40" i="41"/>
  <c r="G40" i="41"/>
  <c r="B47" i="27"/>
  <c r="H40" i="40"/>
  <c r="D41" i="40"/>
  <c r="E41" i="40"/>
  <c r="H47" i="24"/>
  <c r="D48" i="24"/>
  <c r="E48" i="24"/>
  <c r="I44" i="29"/>
  <c r="G47" i="24"/>
  <c r="G41" i="38"/>
  <c r="I41" i="38" s="1"/>
  <c r="D42" i="38"/>
  <c r="E42" i="38"/>
  <c r="B45" i="29"/>
  <c r="F45" i="29"/>
  <c r="G45" i="29" s="1"/>
  <c r="B53" i="11"/>
  <c r="F42" i="37"/>
  <c r="H42" i="37" s="1"/>
  <c r="B42" i="37"/>
  <c r="I40" i="42"/>
  <c r="I43" i="45"/>
  <c r="F44" i="45"/>
  <c r="D45" i="45" s="1"/>
  <c r="H49" i="22"/>
  <c r="I49" i="22" s="1"/>
  <c r="D50" i="22"/>
  <c r="E50" i="22"/>
  <c r="G41" i="39"/>
  <c r="I41" i="39" s="1"/>
  <c r="D42" i="39"/>
  <c r="B44" i="45"/>
  <c r="B40" i="46"/>
  <c r="F40" i="46"/>
  <c r="H40" i="46" s="1"/>
  <c r="F47" i="27"/>
  <c r="G47" i="27" s="1"/>
  <c r="G40" i="43"/>
  <c r="I40" i="43" s="1"/>
  <c r="D41" i="43"/>
  <c r="H52" i="5"/>
  <c r="D53" i="5"/>
  <c r="E53" i="5"/>
  <c r="E41" i="42"/>
  <c r="F41" i="42" s="1"/>
  <c r="H41" i="42" s="1"/>
  <c r="B41" i="42"/>
  <c r="G40" i="40"/>
  <c r="E46" i="44" l="1"/>
  <c r="D54" i="11"/>
  <c r="I43" i="30"/>
  <c r="B44" i="30"/>
  <c r="F44" i="30"/>
  <c r="D54" i="10"/>
  <c r="G53" i="11"/>
  <c r="I53" i="11" s="1"/>
  <c r="E54" i="11"/>
  <c r="F54" i="11" s="1"/>
  <c r="G54" i="11" s="1"/>
  <c r="G45" i="44"/>
  <c r="I45" i="44" s="1"/>
  <c r="D46" i="44"/>
  <c r="B46" i="44" s="1"/>
  <c r="E54" i="10"/>
  <c r="G53" i="10"/>
  <c r="I53" i="10" s="1"/>
  <c r="I50" i="8"/>
  <c r="E54" i="7"/>
  <c r="F54" i="7" s="1"/>
  <c r="G54" i="7" s="1"/>
  <c r="F52" i="9"/>
  <c r="H52" i="9" s="1"/>
  <c r="B52" i="9"/>
  <c r="F46" i="28"/>
  <c r="H46" i="28" s="1"/>
  <c r="B51" i="8"/>
  <c r="F51" i="8"/>
  <c r="H53" i="7"/>
  <c r="G53" i="7"/>
  <c r="G50" i="3"/>
  <c r="I50" i="3" s="1"/>
  <c r="E51" i="3"/>
  <c r="D51" i="3"/>
  <c r="G51" i="6"/>
  <c r="D52" i="6"/>
  <c r="E52" i="6"/>
  <c r="H49" i="25"/>
  <c r="I49" i="25" s="1"/>
  <c r="D50" i="25"/>
  <c r="E50" i="25"/>
  <c r="G45" i="31"/>
  <c r="I45" i="31" s="1"/>
  <c r="D46" i="31"/>
  <c r="E46" i="31"/>
  <c r="D53" i="4"/>
  <c r="B53" i="4" s="1"/>
  <c r="H51" i="6"/>
  <c r="B46" i="28"/>
  <c r="H52" i="4"/>
  <c r="I52" i="4" s="1"/>
  <c r="B54" i="7"/>
  <c r="F48" i="24"/>
  <c r="G48" i="24" s="1"/>
  <c r="D49" i="23"/>
  <c r="H48" i="23"/>
  <c r="I48" i="23" s="1"/>
  <c r="E49" i="23"/>
  <c r="E53" i="4"/>
  <c r="B48" i="24"/>
  <c r="B54" i="11"/>
  <c r="G41" i="42"/>
  <c r="I41" i="42" s="1"/>
  <c r="D42" i="42"/>
  <c r="E42" i="42"/>
  <c r="F53" i="5"/>
  <c r="G40" i="46"/>
  <c r="I40" i="46" s="1"/>
  <c r="D41" i="46"/>
  <c r="E41" i="46"/>
  <c r="I47" i="24"/>
  <c r="I40" i="41"/>
  <c r="H47" i="27"/>
  <c r="I47" i="27" s="1"/>
  <c r="D48" i="27"/>
  <c r="E48" i="27"/>
  <c r="I40" i="40"/>
  <c r="B53" i="5"/>
  <c r="F41" i="41"/>
  <c r="G41" i="41" s="1"/>
  <c r="B41" i="41"/>
  <c r="E41" i="43"/>
  <c r="F41" i="43" s="1"/>
  <c r="G41" i="43" s="1"/>
  <c r="B41" i="43"/>
  <c r="E45" i="45"/>
  <c r="F45" i="45" s="1"/>
  <c r="G45" i="45" s="1"/>
  <c r="B45" i="45"/>
  <c r="F41" i="40"/>
  <c r="H41" i="40" s="1"/>
  <c r="B41" i="40"/>
  <c r="E42" i="39"/>
  <c r="F42" i="39" s="1"/>
  <c r="B42" i="39"/>
  <c r="F42" i="38"/>
  <c r="B42" i="38"/>
  <c r="H44" i="45"/>
  <c r="B50" i="22"/>
  <c r="F50" i="22"/>
  <c r="G50" i="22" s="1"/>
  <c r="H45" i="29"/>
  <c r="I45" i="29" s="1"/>
  <c r="D46" i="29"/>
  <c r="E46" i="29"/>
  <c r="G44" i="45"/>
  <c r="B54" i="10"/>
  <c r="G42" i="37"/>
  <c r="I42" i="37" s="1"/>
  <c r="D43" i="37"/>
  <c r="G44" i="30" l="1"/>
  <c r="D45" i="30"/>
  <c r="E45" i="30"/>
  <c r="F46" i="44"/>
  <c r="D47" i="44" s="1"/>
  <c r="B47" i="44" s="1"/>
  <c r="F54" i="10"/>
  <c r="E55" i="10" s="1"/>
  <c r="H44" i="30"/>
  <c r="I53" i="7"/>
  <c r="D47" i="28"/>
  <c r="B47" i="28" s="1"/>
  <c r="G46" i="28"/>
  <c r="I46" i="28" s="1"/>
  <c r="E47" i="28"/>
  <c r="H51" i="8"/>
  <c r="D52" i="8"/>
  <c r="E52" i="8"/>
  <c r="G46" i="44"/>
  <c r="H46" i="44"/>
  <c r="G51" i="8"/>
  <c r="G52" i="9"/>
  <c r="I52" i="9" s="1"/>
  <c r="D53" i="9"/>
  <c r="E53" i="9"/>
  <c r="D55" i="10"/>
  <c r="F55" i="10" s="1"/>
  <c r="G55" i="10" s="1"/>
  <c r="F51" i="3"/>
  <c r="B51" i="3"/>
  <c r="F53" i="4"/>
  <c r="H53" i="4" s="1"/>
  <c r="I51" i="6"/>
  <c r="F46" i="29"/>
  <c r="E47" i="29" s="1"/>
  <c r="B50" i="25"/>
  <c r="F50" i="25"/>
  <c r="G50" i="25" s="1"/>
  <c r="B52" i="6"/>
  <c r="F52" i="6"/>
  <c r="B46" i="31"/>
  <c r="F46" i="31"/>
  <c r="H46" i="31" s="1"/>
  <c r="H54" i="7"/>
  <c r="I54" i="7" s="1"/>
  <c r="D55" i="7"/>
  <c r="E55" i="7"/>
  <c r="E49" i="24"/>
  <c r="D49" i="24"/>
  <c r="B49" i="24" s="1"/>
  <c r="H48" i="24"/>
  <c r="I48" i="24" s="1"/>
  <c r="F49" i="23"/>
  <c r="G49" i="23" s="1"/>
  <c r="B49" i="23"/>
  <c r="H42" i="39"/>
  <c r="D43" i="39"/>
  <c r="G42" i="39"/>
  <c r="H41" i="43"/>
  <c r="I41" i="43" s="1"/>
  <c r="D42" i="43"/>
  <c r="E42" i="43"/>
  <c r="H54" i="11"/>
  <c r="I54" i="11" s="1"/>
  <c r="D55" i="11"/>
  <c r="E55" i="11"/>
  <c r="B46" i="29"/>
  <c r="I44" i="45"/>
  <c r="G41" i="40"/>
  <c r="I41" i="40" s="1"/>
  <c r="D42" i="40"/>
  <c r="E42" i="40"/>
  <c r="E43" i="37"/>
  <c r="F43" i="37" s="1"/>
  <c r="B43" i="37"/>
  <c r="F48" i="27"/>
  <c r="H48" i="27" s="1"/>
  <c r="H53" i="5"/>
  <c r="D54" i="5"/>
  <c r="E54" i="5"/>
  <c r="H42" i="38"/>
  <c r="D43" i="38"/>
  <c r="E43" i="38"/>
  <c r="H50" i="22"/>
  <c r="I50" i="22" s="1"/>
  <c r="D51" i="22"/>
  <c r="E51" i="22"/>
  <c r="H45" i="45"/>
  <c r="I45" i="45" s="1"/>
  <c r="D46" i="45"/>
  <c r="E46" i="45"/>
  <c r="H41" i="41"/>
  <c r="I41" i="41" s="1"/>
  <c r="D42" i="41"/>
  <c r="E42" i="41"/>
  <c r="B48" i="27"/>
  <c r="B41" i="46"/>
  <c r="F41" i="46"/>
  <c r="H41" i="46" s="1"/>
  <c r="B42" i="42"/>
  <c r="F42" i="42"/>
  <c r="H42" i="42" s="1"/>
  <c r="G42" i="38"/>
  <c r="G53" i="5"/>
  <c r="E47" i="44" l="1"/>
  <c r="F47" i="28"/>
  <c r="G47" i="28" s="1"/>
  <c r="F47" i="44"/>
  <c r="E48" i="44" s="1"/>
  <c r="I44" i="30"/>
  <c r="H54" i="10"/>
  <c r="I46" i="44"/>
  <c r="B45" i="30"/>
  <c r="F45" i="30"/>
  <c r="H45" i="30" s="1"/>
  <c r="G54" i="10"/>
  <c r="D47" i="29"/>
  <c r="B55" i="10"/>
  <c r="H50" i="25"/>
  <c r="I50" i="25" s="1"/>
  <c r="B52" i="8"/>
  <c r="F52" i="8"/>
  <c r="H52" i="8" s="1"/>
  <c r="F49" i="24"/>
  <c r="H49" i="24" s="1"/>
  <c r="F53" i="9"/>
  <c r="B53" i="9"/>
  <c r="I51" i="8"/>
  <c r="G46" i="29"/>
  <c r="G53" i="4"/>
  <c r="I53" i="4" s="1"/>
  <c r="H46" i="29"/>
  <c r="E54" i="4"/>
  <c r="D54" i="4"/>
  <c r="G51" i="3"/>
  <c r="D52" i="3"/>
  <c r="E52" i="3"/>
  <c r="H51" i="3"/>
  <c r="D51" i="25"/>
  <c r="E51" i="25"/>
  <c r="E56" i="10"/>
  <c r="G46" i="31"/>
  <c r="I46" i="31" s="1"/>
  <c r="D47" i="31"/>
  <c r="E47" i="31"/>
  <c r="G52" i="6"/>
  <c r="E53" i="6"/>
  <c r="D53" i="6"/>
  <c r="D56" i="10"/>
  <c r="B56" i="10" s="1"/>
  <c r="H55" i="10"/>
  <c r="I55" i="10" s="1"/>
  <c r="H52" i="6"/>
  <c r="F54" i="5"/>
  <c r="H54" i="5" s="1"/>
  <c r="F55" i="7"/>
  <c r="G55" i="7" s="1"/>
  <c r="B55" i="7"/>
  <c r="D50" i="23"/>
  <c r="E50" i="23"/>
  <c r="H49" i="23"/>
  <c r="I49" i="23" s="1"/>
  <c r="F46" i="45"/>
  <c r="D47" i="45" s="1"/>
  <c r="B47" i="45" s="1"/>
  <c r="H43" i="37"/>
  <c r="D44" i="37"/>
  <c r="G43" i="37"/>
  <c r="F42" i="40"/>
  <c r="H42" i="40" s="1"/>
  <c r="B42" i="40"/>
  <c r="I42" i="38"/>
  <c r="B54" i="5"/>
  <c r="B51" i="22"/>
  <c r="F51" i="22"/>
  <c r="G51" i="22" s="1"/>
  <c r="G48" i="27"/>
  <c r="I48" i="27" s="1"/>
  <c r="D49" i="27"/>
  <c r="E49" i="27"/>
  <c r="H47" i="28"/>
  <c r="I47" i="28" s="1"/>
  <c r="D48" i="28"/>
  <c r="E48" i="28"/>
  <c r="B42" i="43"/>
  <c r="F42" i="43"/>
  <c r="H42" i="43" s="1"/>
  <c r="G42" i="42"/>
  <c r="I42" i="42" s="1"/>
  <c r="D43" i="42"/>
  <c r="E43" i="42"/>
  <c r="B42" i="41"/>
  <c r="F42" i="41"/>
  <c r="G42" i="41" s="1"/>
  <c r="I42" i="39"/>
  <c r="F47" i="29"/>
  <c r="H47" i="29" s="1"/>
  <c r="E43" i="39"/>
  <c r="F43" i="39" s="1"/>
  <c r="H43" i="39" s="1"/>
  <c r="B43" i="39"/>
  <c r="D42" i="46"/>
  <c r="E42" i="46"/>
  <c r="B43" i="38"/>
  <c r="F43" i="38"/>
  <c r="D44" i="38" s="1"/>
  <c r="G49" i="24"/>
  <c r="I49" i="24" s="1"/>
  <c r="B47" i="29"/>
  <c r="G41" i="46"/>
  <c r="I41" i="46" s="1"/>
  <c r="B46" i="45"/>
  <c r="F55" i="11"/>
  <c r="B55" i="11"/>
  <c r="G47" i="44" l="1"/>
  <c r="I54" i="10"/>
  <c r="D48" i="44"/>
  <c r="H47" i="44"/>
  <c r="I47" i="44" s="1"/>
  <c r="G45" i="30"/>
  <c r="I45" i="30" s="1"/>
  <c r="E46" i="30"/>
  <c r="D46" i="30"/>
  <c r="E50" i="24"/>
  <c r="D50" i="24"/>
  <c r="B50" i="24" s="1"/>
  <c r="I46" i="29"/>
  <c r="F56" i="10"/>
  <c r="H56" i="10" s="1"/>
  <c r="F54" i="4"/>
  <c r="E55" i="4" s="1"/>
  <c r="H53" i="9"/>
  <c r="D54" i="9"/>
  <c r="E54" i="9"/>
  <c r="G52" i="8"/>
  <c r="I52" i="8" s="1"/>
  <c r="D53" i="8"/>
  <c r="E53" i="8"/>
  <c r="D55" i="5"/>
  <c r="B55" i="5" s="1"/>
  <c r="G53" i="9"/>
  <c r="I52" i="6"/>
  <c r="E47" i="45"/>
  <c r="F47" i="45" s="1"/>
  <c r="G47" i="45" s="1"/>
  <c r="B54" i="4"/>
  <c r="F52" i="3"/>
  <c r="H52" i="3" s="1"/>
  <c r="B52" i="3"/>
  <c r="I51" i="3"/>
  <c r="G54" i="5"/>
  <c r="E55" i="5"/>
  <c r="H46" i="45"/>
  <c r="F47" i="31"/>
  <c r="G47" i="31" s="1"/>
  <c r="B47" i="31"/>
  <c r="F53" i="6"/>
  <c r="H53" i="6" s="1"/>
  <c r="B53" i="6"/>
  <c r="B51" i="25"/>
  <c r="F51" i="25"/>
  <c r="G51" i="25" s="1"/>
  <c r="G46" i="45"/>
  <c r="H55" i="7"/>
  <c r="I55" i="7" s="1"/>
  <c r="H42" i="41"/>
  <c r="I42" i="41" s="1"/>
  <c r="D56" i="7"/>
  <c r="E56" i="7"/>
  <c r="G43" i="38"/>
  <c r="B50" i="23"/>
  <c r="F50" i="23"/>
  <c r="I43" i="37"/>
  <c r="H43" i="38"/>
  <c r="F43" i="42"/>
  <c r="H43" i="42" s="1"/>
  <c r="B43" i="42"/>
  <c r="G42" i="43"/>
  <c r="I42" i="43" s="1"/>
  <c r="D43" i="43"/>
  <c r="H51" i="22"/>
  <c r="I51" i="22" s="1"/>
  <c r="D52" i="22"/>
  <c r="E52" i="22"/>
  <c r="F42" i="46"/>
  <c r="G42" i="46" s="1"/>
  <c r="B42" i="46"/>
  <c r="D43" i="41"/>
  <c r="E43" i="41"/>
  <c r="B49" i="27"/>
  <c r="F49" i="27"/>
  <c r="G49" i="27" s="1"/>
  <c r="G42" i="40"/>
  <c r="I42" i="40" s="1"/>
  <c r="D43" i="40"/>
  <c r="E43" i="40"/>
  <c r="E44" i="37"/>
  <c r="F44" i="37" s="1"/>
  <c r="B44" i="37"/>
  <c r="G55" i="11"/>
  <c r="D56" i="11"/>
  <c r="E56" i="11"/>
  <c r="E44" i="38"/>
  <c r="F44" i="38" s="1"/>
  <c r="B44" i="38"/>
  <c r="B48" i="28"/>
  <c r="F48" i="28"/>
  <c r="H48" i="28" s="1"/>
  <c r="H55" i="11"/>
  <c r="G47" i="29"/>
  <c r="I47" i="29" s="1"/>
  <c r="D48" i="29"/>
  <c r="E48" i="29"/>
  <c r="G43" i="39"/>
  <c r="I43" i="39" s="1"/>
  <c r="D44" i="39"/>
  <c r="E44" i="39"/>
  <c r="F48" i="44" l="1"/>
  <c r="B48" i="44"/>
  <c r="F46" i="30"/>
  <c r="B46" i="30"/>
  <c r="H46" i="30"/>
  <c r="G56" i="10"/>
  <c r="I56" i="10" s="1"/>
  <c r="G54" i="4"/>
  <c r="I54" i="4" s="1"/>
  <c r="E57" i="10"/>
  <c r="H54" i="4"/>
  <c r="D57" i="10"/>
  <c r="B57" i="10" s="1"/>
  <c r="F50" i="24"/>
  <c r="G50" i="24" s="1"/>
  <c r="F48" i="29"/>
  <c r="G48" i="29" s="1"/>
  <c r="D55" i="4"/>
  <c r="F55" i="4" s="1"/>
  <c r="D56" i="4" s="1"/>
  <c r="G52" i="3"/>
  <c r="I52" i="3" s="1"/>
  <c r="F53" i="8"/>
  <c r="E54" i="8" s="1"/>
  <c r="F55" i="5"/>
  <c r="G55" i="5" s="1"/>
  <c r="B54" i="9"/>
  <c r="F54" i="9"/>
  <c r="G54" i="9" s="1"/>
  <c r="B53" i="8"/>
  <c r="I53" i="9"/>
  <c r="I43" i="38"/>
  <c r="D48" i="45"/>
  <c r="B48" i="45" s="1"/>
  <c r="F56" i="11"/>
  <c r="H56" i="11" s="1"/>
  <c r="D53" i="3"/>
  <c r="E53" i="3"/>
  <c r="H47" i="45"/>
  <c r="I47" i="45" s="1"/>
  <c r="I46" i="45"/>
  <c r="D54" i="6"/>
  <c r="E54" i="6"/>
  <c r="G53" i="6"/>
  <c r="I53" i="6" s="1"/>
  <c r="H51" i="25"/>
  <c r="I51" i="25" s="1"/>
  <c r="E52" i="25"/>
  <c r="D52" i="25"/>
  <c r="H47" i="31"/>
  <c r="I47" i="31" s="1"/>
  <c r="D48" i="31"/>
  <c r="E48" i="31"/>
  <c r="F56" i="7"/>
  <c r="H56" i="7" s="1"/>
  <c r="B56" i="7"/>
  <c r="G50" i="23"/>
  <c r="E51" i="23"/>
  <c r="D51" i="23"/>
  <c r="H50" i="23"/>
  <c r="I55" i="11"/>
  <c r="H42" i="46"/>
  <c r="I42" i="46" s="1"/>
  <c r="G44" i="38"/>
  <c r="D45" i="38"/>
  <c r="H44" i="38"/>
  <c r="H44" i="37"/>
  <c r="D45" i="37"/>
  <c r="G44" i="37"/>
  <c r="B44" i="39"/>
  <c r="F44" i="39"/>
  <c r="H44" i="39" s="1"/>
  <c r="F43" i="41"/>
  <c r="H43" i="41" s="1"/>
  <c r="B43" i="41"/>
  <c r="G48" i="28"/>
  <c r="I48" i="28" s="1"/>
  <c r="D49" i="28"/>
  <c r="E49" i="28"/>
  <c r="H49" i="27"/>
  <c r="I49" i="27" s="1"/>
  <c r="D50" i="27"/>
  <c r="E50" i="27"/>
  <c r="E48" i="45"/>
  <c r="B56" i="11"/>
  <c r="G43" i="42"/>
  <c r="I43" i="42" s="1"/>
  <c r="D44" i="42"/>
  <c r="E44" i="42"/>
  <c r="E43" i="43"/>
  <c r="F43" i="43" s="1"/>
  <c r="H43" i="43" s="1"/>
  <c r="B43" i="43"/>
  <c r="F52" i="22"/>
  <c r="G52" i="22" s="1"/>
  <c r="D43" i="46"/>
  <c r="E43" i="46"/>
  <c r="B52" i="22"/>
  <c r="F43" i="40"/>
  <c r="H43" i="40" s="1"/>
  <c r="B43" i="40"/>
  <c r="B48" i="29"/>
  <c r="H50" i="24"/>
  <c r="I50" i="24" s="1"/>
  <c r="G48" i="44" l="1"/>
  <c r="D49" i="44"/>
  <c r="H48" i="44"/>
  <c r="I48" i="44" s="1"/>
  <c r="E49" i="44"/>
  <c r="G46" i="30"/>
  <c r="I46" i="30" s="1"/>
  <c r="E47" i="30"/>
  <c r="D47" i="30"/>
  <c r="B55" i="4"/>
  <c r="E49" i="29"/>
  <c r="E51" i="24"/>
  <c r="D49" i="29"/>
  <c r="B49" i="29" s="1"/>
  <c r="D51" i="24"/>
  <c r="B51" i="24" s="1"/>
  <c r="H48" i="29"/>
  <c r="I48" i="29" s="1"/>
  <c r="F57" i="10"/>
  <c r="E58" i="10" s="1"/>
  <c r="G53" i="8"/>
  <c r="H53" i="8"/>
  <c r="D54" i="8"/>
  <c r="B54" i="8" s="1"/>
  <c r="G56" i="11"/>
  <c r="I56" i="11" s="1"/>
  <c r="H55" i="4"/>
  <c r="E56" i="5"/>
  <c r="D56" i="5"/>
  <c r="H55" i="5"/>
  <c r="F48" i="45"/>
  <c r="G48" i="45" s="1"/>
  <c r="H54" i="9"/>
  <c r="I54" i="9" s="1"/>
  <c r="D57" i="11"/>
  <c r="B57" i="11" s="1"/>
  <c r="F54" i="8"/>
  <c r="H54" i="8" s="1"/>
  <c r="E57" i="11"/>
  <c r="E55" i="9"/>
  <c r="D55" i="9"/>
  <c r="G55" i="4"/>
  <c r="F53" i="3"/>
  <c r="B53" i="3"/>
  <c r="B48" i="31"/>
  <c r="F48" i="31"/>
  <c r="G48" i="31" s="1"/>
  <c r="F52" i="25"/>
  <c r="H52" i="25" s="1"/>
  <c r="B52" i="25"/>
  <c r="F54" i="6"/>
  <c r="H54" i="6" s="1"/>
  <c r="B54" i="6"/>
  <c r="I50" i="23"/>
  <c r="G56" i="7"/>
  <c r="I56" i="7" s="1"/>
  <c r="D57" i="7"/>
  <c r="E57" i="7"/>
  <c r="E56" i="4"/>
  <c r="F56" i="4" s="1"/>
  <c r="F51" i="23"/>
  <c r="B51" i="23"/>
  <c r="I44" i="38"/>
  <c r="B56" i="4"/>
  <c r="I44" i="37"/>
  <c r="B43" i="46"/>
  <c r="F43" i="46"/>
  <c r="G43" i="46" s="1"/>
  <c r="E45" i="37"/>
  <c r="F45" i="37" s="1"/>
  <c r="B45" i="37"/>
  <c r="G43" i="43"/>
  <c r="I43" i="43" s="1"/>
  <c r="D44" i="43"/>
  <c r="F50" i="27"/>
  <c r="G43" i="41"/>
  <c r="I43" i="41" s="1"/>
  <c r="D44" i="41"/>
  <c r="E44" i="41"/>
  <c r="B50" i="27"/>
  <c r="G44" i="39"/>
  <c r="I44" i="39" s="1"/>
  <c r="D45" i="39"/>
  <c r="B49" i="28"/>
  <c r="E45" i="38"/>
  <c r="F45" i="38" s="1"/>
  <c r="B45" i="38"/>
  <c r="H52" i="22"/>
  <c r="I52" i="22" s="1"/>
  <c r="D53" i="22"/>
  <c r="E53" i="22"/>
  <c r="G43" i="40"/>
  <c r="I43" i="40" s="1"/>
  <c r="D44" i="40"/>
  <c r="E44" i="40"/>
  <c r="F44" i="42"/>
  <c r="B44" i="42"/>
  <c r="F49" i="28"/>
  <c r="B49" i="44" l="1"/>
  <c r="F49" i="44"/>
  <c r="F47" i="30"/>
  <c r="B47" i="30"/>
  <c r="G47" i="30"/>
  <c r="F49" i="29"/>
  <c r="H49" i="29" s="1"/>
  <c r="F51" i="24"/>
  <c r="G51" i="24" s="1"/>
  <c r="H57" i="10"/>
  <c r="I57" i="10" s="1"/>
  <c r="G57" i="10"/>
  <c r="D58" i="10"/>
  <c r="I53" i="8"/>
  <c r="F56" i="5"/>
  <c r="H56" i="5" s="1"/>
  <c r="B56" i="5"/>
  <c r="I55" i="4"/>
  <c r="H48" i="45"/>
  <c r="I48" i="45" s="1"/>
  <c r="D49" i="45"/>
  <c r="B49" i="45" s="1"/>
  <c r="E49" i="45"/>
  <c r="F57" i="11"/>
  <c r="H57" i="11" s="1"/>
  <c r="G54" i="8"/>
  <c r="I54" i="8" s="1"/>
  <c r="D55" i="8"/>
  <c r="E55" i="8"/>
  <c r="F55" i="9"/>
  <c r="H55" i="9" s="1"/>
  <c r="B55" i="9"/>
  <c r="G53" i="3"/>
  <c r="E54" i="3"/>
  <c r="D54" i="3"/>
  <c r="H53" i="3"/>
  <c r="G52" i="25"/>
  <c r="I52" i="25" s="1"/>
  <c r="E53" i="25"/>
  <c r="D53" i="25"/>
  <c r="H48" i="31"/>
  <c r="I48" i="31" s="1"/>
  <c r="D49" i="31"/>
  <c r="E49" i="31"/>
  <c r="D55" i="6"/>
  <c r="E55" i="6"/>
  <c r="G54" i="6"/>
  <c r="I54" i="6" s="1"/>
  <c r="G56" i="4"/>
  <c r="H56" i="4"/>
  <c r="F57" i="7"/>
  <c r="H57" i="7" s="1"/>
  <c r="B57" i="7"/>
  <c r="H51" i="23"/>
  <c r="E52" i="23"/>
  <c r="G51" i="23"/>
  <c r="D52" i="23"/>
  <c r="D57" i="4"/>
  <c r="E57" i="4"/>
  <c r="H45" i="37"/>
  <c r="D46" i="37"/>
  <c r="E46" i="37"/>
  <c r="G45" i="37"/>
  <c r="E44" i="43"/>
  <c r="F44" i="43" s="1"/>
  <c r="B44" i="43"/>
  <c r="G45" i="38"/>
  <c r="D46" i="38"/>
  <c r="E46" i="38"/>
  <c r="G50" i="27"/>
  <c r="D51" i="27"/>
  <c r="E51" i="27"/>
  <c r="H43" i="46"/>
  <c r="I43" i="46" s="1"/>
  <c r="D44" i="46"/>
  <c r="E44" i="46"/>
  <c r="F53" i="22"/>
  <c r="G53" i="22" s="1"/>
  <c r="E45" i="39"/>
  <c r="F45" i="39" s="1"/>
  <c r="B45" i="39"/>
  <c r="H49" i="28"/>
  <c r="D50" i="28"/>
  <c r="E50" i="28"/>
  <c r="B53" i="22"/>
  <c r="H44" i="42"/>
  <c r="D45" i="42"/>
  <c r="G44" i="42"/>
  <c r="B44" i="40"/>
  <c r="F44" i="40"/>
  <c r="G44" i="40" s="1"/>
  <c r="H45" i="38"/>
  <c r="H50" i="27"/>
  <c r="G49" i="28"/>
  <c r="B44" i="41"/>
  <c r="F44" i="41"/>
  <c r="H44" i="41" s="1"/>
  <c r="E52" i="24" l="1"/>
  <c r="D52" i="24"/>
  <c r="B52" i="24" s="1"/>
  <c r="H51" i="24"/>
  <c r="I51" i="24" s="1"/>
  <c r="G49" i="29"/>
  <c r="I49" i="29" s="1"/>
  <c r="D50" i="29"/>
  <c r="F49" i="45"/>
  <c r="D50" i="45" s="1"/>
  <c r="B50" i="45" s="1"/>
  <c r="E50" i="44"/>
  <c r="D50" i="44"/>
  <c r="E50" i="29"/>
  <c r="H49" i="44"/>
  <c r="G49" i="44"/>
  <c r="H47" i="30"/>
  <c r="I47" i="30" s="1"/>
  <c r="D48" i="30"/>
  <c r="E48" i="30"/>
  <c r="E57" i="5"/>
  <c r="D57" i="5"/>
  <c r="B57" i="5" s="1"/>
  <c r="G56" i="5"/>
  <c r="F58" i="10"/>
  <c r="B58" i="10"/>
  <c r="E58" i="11"/>
  <c r="G57" i="11"/>
  <c r="I57" i="11" s="1"/>
  <c r="D58" i="11"/>
  <c r="B58" i="11" s="1"/>
  <c r="G57" i="7"/>
  <c r="I57" i="7" s="1"/>
  <c r="F50" i="29"/>
  <c r="G50" i="29" s="1"/>
  <c r="G55" i="9"/>
  <c r="I55" i="9" s="1"/>
  <c r="D56" i="9"/>
  <c r="E56" i="9"/>
  <c r="F55" i="8"/>
  <c r="G55" i="8" s="1"/>
  <c r="B55" i="8"/>
  <c r="F52" i="24"/>
  <c r="H52" i="24" s="1"/>
  <c r="I56" i="4"/>
  <c r="I53" i="3"/>
  <c r="F54" i="3"/>
  <c r="B54" i="3"/>
  <c r="I45" i="38"/>
  <c r="F49" i="31"/>
  <c r="H49" i="31" s="1"/>
  <c r="B49" i="31"/>
  <c r="B53" i="25"/>
  <c r="F53" i="25"/>
  <c r="G53" i="25" s="1"/>
  <c r="B55" i="6"/>
  <c r="F55" i="6"/>
  <c r="H55" i="6" s="1"/>
  <c r="F51" i="27"/>
  <c r="E52" i="27" s="1"/>
  <c r="I51" i="23"/>
  <c r="B50" i="29"/>
  <c r="E58" i="7"/>
  <c r="D58" i="7"/>
  <c r="I45" i="37"/>
  <c r="B52" i="23"/>
  <c r="I50" i="27"/>
  <c r="F52" i="23"/>
  <c r="H52" i="23" s="1"/>
  <c r="B57" i="4"/>
  <c r="F57" i="4"/>
  <c r="G57" i="4" s="1"/>
  <c r="D45" i="43"/>
  <c r="E45" i="43"/>
  <c r="H44" i="43"/>
  <c r="G44" i="43"/>
  <c r="H45" i="39"/>
  <c r="D46" i="39"/>
  <c r="E46" i="39"/>
  <c r="G45" i="39"/>
  <c r="H53" i="22"/>
  <c r="I53" i="22" s="1"/>
  <c r="D54" i="22"/>
  <c r="E54" i="22"/>
  <c r="F50" i="28"/>
  <c r="H50" i="28" s="1"/>
  <c r="B44" i="46"/>
  <c r="F44" i="46"/>
  <c r="H44" i="46" s="1"/>
  <c r="B50" i="28"/>
  <c r="G44" i="41"/>
  <c r="I44" i="41" s="1"/>
  <c r="D45" i="41"/>
  <c r="E45" i="41"/>
  <c r="I49" i="28"/>
  <c r="H44" i="40"/>
  <c r="I44" i="40" s="1"/>
  <c r="D45" i="40"/>
  <c r="E45" i="40"/>
  <c r="B51" i="27"/>
  <c r="B46" i="37"/>
  <c r="F46" i="37"/>
  <c r="H46" i="37" s="1"/>
  <c r="E50" i="45"/>
  <c r="F50" i="45" s="1"/>
  <c r="B46" i="38"/>
  <c r="F46" i="38"/>
  <c r="G46" i="38" s="1"/>
  <c r="I44" i="42"/>
  <c r="E45" i="42"/>
  <c r="F45" i="42" s="1"/>
  <c r="H45" i="42" s="1"/>
  <c r="B45" i="42"/>
  <c r="H49" i="45" l="1"/>
  <c r="G49" i="45"/>
  <c r="F57" i="5"/>
  <c r="G57" i="5" s="1"/>
  <c r="I49" i="44"/>
  <c r="F50" i="44"/>
  <c r="G50" i="44" s="1"/>
  <c r="B50" i="44"/>
  <c r="H50" i="44"/>
  <c r="B48" i="30"/>
  <c r="F48" i="30"/>
  <c r="H48" i="30" s="1"/>
  <c r="F58" i="11"/>
  <c r="H50" i="29"/>
  <c r="I50" i="29" s="1"/>
  <c r="G58" i="10"/>
  <c r="D59" i="10"/>
  <c r="H58" i="10"/>
  <c r="E51" i="29"/>
  <c r="D51" i="29"/>
  <c r="B51" i="29" s="1"/>
  <c r="G55" i="6"/>
  <c r="I55" i="6" s="1"/>
  <c r="F56" i="9"/>
  <c r="G56" i="9" s="1"/>
  <c r="B56" i="9"/>
  <c r="G52" i="24"/>
  <c r="I52" i="24" s="1"/>
  <c r="D53" i="24"/>
  <c r="B53" i="24" s="1"/>
  <c r="H55" i="8"/>
  <c r="I55" i="8" s="1"/>
  <c r="E56" i="8"/>
  <c r="D56" i="8"/>
  <c r="E53" i="24"/>
  <c r="G54" i="3"/>
  <c r="D55" i="3"/>
  <c r="E55" i="3"/>
  <c r="H54" i="3"/>
  <c r="I54" i="3" s="1"/>
  <c r="D52" i="27"/>
  <c r="B52" i="27" s="1"/>
  <c r="H51" i="27"/>
  <c r="H53" i="25"/>
  <c r="I53" i="25" s="1"/>
  <c r="D54" i="25"/>
  <c r="E54" i="25"/>
  <c r="G51" i="27"/>
  <c r="D56" i="6"/>
  <c r="E56" i="6"/>
  <c r="G49" i="31"/>
  <c r="I49" i="31" s="1"/>
  <c r="D50" i="31"/>
  <c r="E50" i="31"/>
  <c r="F58" i="7"/>
  <c r="H58" i="7" s="1"/>
  <c r="B58" i="7"/>
  <c r="G52" i="23"/>
  <c r="I52" i="23" s="1"/>
  <c r="D53" i="23"/>
  <c r="E53" i="23"/>
  <c r="D58" i="4"/>
  <c r="E58" i="4" s="1"/>
  <c r="H57" i="4"/>
  <c r="I57" i="4" s="1"/>
  <c r="F45" i="40"/>
  <c r="H45" i="40" s="1"/>
  <c r="B45" i="40"/>
  <c r="G46" i="37"/>
  <c r="I46" i="37" s="1"/>
  <c r="D47" i="37"/>
  <c r="H58" i="11"/>
  <c r="D59" i="11"/>
  <c r="E59" i="11" s="1"/>
  <c r="G50" i="28"/>
  <c r="I50" i="28" s="1"/>
  <c r="D51" i="28"/>
  <c r="E51" i="28"/>
  <c r="I44" i="43"/>
  <c r="F46" i="39"/>
  <c r="H46" i="39" s="1"/>
  <c r="B46" i="39"/>
  <c r="H46" i="38"/>
  <c r="I46" i="38" s="1"/>
  <c r="D47" i="38"/>
  <c r="E47" i="38"/>
  <c r="B45" i="41"/>
  <c r="F45" i="41"/>
  <c r="H45" i="41" s="1"/>
  <c r="F54" i="22"/>
  <c r="G54" i="22" s="1"/>
  <c r="B54" i="22"/>
  <c r="H50" i="45"/>
  <c r="D51" i="45"/>
  <c r="I49" i="45"/>
  <c r="G45" i="42"/>
  <c r="I45" i="42" s="1"/>
  <c r="D46" i="42"/>
  <c r="E46" i="42"/>
  <c r="G44" i="46"/>
  <c r="I44" i="46" s="1"/>
  <c r="D45" i="46"/>
  <c r="E45" i="46"/>
  <c r="F45" i="43"/>
  <c r="H45" i="43" s="1"/>
  <c r="B45" i="43"/>
  <c r="G50" i="45"/>
  <c r="H57" i="5"/>
  <c r="D58" i="5"/>
  <c r="E58" i="5" s="1"/>
  <c r="G58" i="11"/>
  <c r="I45" i="39"/>
  <c r="I50" i="44" l="1"/>
  <c r="G48" i="30"/>
  <c r="I48" i="30"/>
  <c r="D51" i="44"/>
  <c r="E51" i="44"/>
  <c r="E49" i="30"/>
  <c r="D49" i="30"/>
  <c r="F51" i="29"/>
  <c r="H51" i="29" s="1"/>
  <c r="I58" i="10"/>
  <c r="H56" i="9"/>
  <c r="I56" i="9" s="1"/>
  <c r="E59" i="10"/>
  <c r="F59" i="10" s="1"/>
  <c r="G59" i="10" s="1"/>
  <c r="B59" i="10"/>
  <c r="H59" i="10"/>
  <c r="F50" i="31"/>
  <c r="H50" i="31" s="1"/>
  <c r="I51" i="27"/>
  <c r="F53" i="24"/>
  <c r="H53" i="24" s="1"/>
  <c r="B56" i="8"/>
  <c r="F56" i="8"/>
  <c r="H56" i="8" s="1"/>
  <c r="D57" i="9"/>
  <c r="E57" i="9"/>
  <c r="F55" i="3"/>
  <c r="B55" i="3"/>
  <c r="G58" i="7"/>
  <c r="I58" i="7" s="1"/>
  <c r="F52" i="27"/>
  <c r="G52" i="27" s="1"/>
  <c r="B50" i="31"/>
  <c r="F56" i="6"/>
  <c r="G56" i="6" s="1"/>
  <c r="B56" i="6"/>
  <c r="B54" i="25"/>
  <c r="F54" i="25"/>
  <c r="H54" i="25" s="1"/>
  <c r="D59" i="7"/>
  <c r="E59" i="7" s="1"/>
  <c r="F53" i="23"/>
  <c r="G53" i="23" s="1"/>
  <c r="B53" i="23"/>
  <c r="I50" i="45"/>
  <c r="B58" i="4"/>
  <c r="F58" i="4"/>
  <c r="G58" i="4" s="1"/>
  <c r="F58" i="5"/>
  <c r="G58" i="5" s="1"/>
  <c r="B46" i="42"/>
  <c r="F46" i="42"/>
  <c r="G46" i="42" s="1"/>
  <c r="D46" i="41"/>
  <c r="E46" i="41"/>
  <c r="I58" i="11"/>
  <c r="B45" i="46"/>
  <c r="F45" i="46"/>
  <c r="H54" i="22"/>
  <c r="I54" i="22" s="1"/>
  <c r="D55" i="22"/>
  <c r="E55" i="22"/>
  <c r="F47" i="38"/>
  <c r="D48" i="38" s="1"/>
  <c r="B47" i="38"/>
  <c r="E47" i="37"/>
  <c r="F47" i="37" s="1"/>
  <c r="B47" i="37"/>
  <c r="B59" i="11"/>
  <c r="F59" i="11"/>
  <c r="H59" i="11" s="1"/>
  <c r="E51" i="45"/>
  <c r="F51" i="45" s="1"/>
  <c r="B51" i="45"/>
  <c r="G45" i="40"/>
  <c r="I45" i="40" s="1"/>
  <c r="D46" i="40"/>
  <c r="E46" i="40"/>
  <c r="G45" i="43"/>
  <c r="I45" i="43" s="1"/>
  <c r="D46" i="43"/>
  <c r="G46" i="39"/>
  <c r="I46" i="39" s="1"/>
  <c r="F51" i="28"/>
  <c r="G51" i="28" s="1"/>
  <c r="B51" i="28"/>
  <c r="D52" i="29"/>
  <c r="D47" i="39"/>
  <c r="E47" i="39"/>
  <c r="B58" i="5"/>
  <c r="G45" i="41"/>
  <c r="I45" i="41" s="1"/>
  <c r="G51" i="29"/>
  <c r="D54" i="24" l="1"/>
  <c r="G53" i="24"/>
  <c r="F51" i="44"/>
  <c r="B51" i="44"/>
  <c r="G51" i="44"/>
  <c r="E54" i="24"/>
  <c r="F54" i="24" s="1"/>
  <c r="E52" i="29"/>
  <c r="F52" i="29" s="1"/>
  <c r="H52" i="29" s="1"/>
  <c r="F49" i="30"/>
  <c r="H49" i="30" s="1"/>
  <c r="B49" i="30"/>
  <c r="G50" i="31"/>
  <c r="E51" i="31"/>
  <c r="I59" i="10"/>
  <c r="D60" i="10"/>
  <c r="E60" i="10" s="1"/>
  <c r="F60" i="10" s="1"/>
  <c r="D51" i="31"/>
  <c r="B51" i="31" s="1"/>
  <c r="I53" i="24"/>
  <c r="F57" i="9"/>
  <c r="D58" i="9" s="1"/>
  <c r="G54" i="25"/>
  <c r="I54" i="25" s="1"/>
  <c r="B57" i="9"/>
  <c r="G56" i="8"/>
  <c r="I56" i="8" s="1"/>
  <c r="D57" i="8"/>
  <c r="E57" i="8"/>
  <c r="E53" i="27"/>
  <c r="D53" i="27"/>
  <c r="H52" i="27"/>
  <c r="I52" i="27" s="1"/>
  <c r="H58" i="4"/>
  <c r="I58" i="4" s="1"/>
  <c r="B54" i="24"/>
  <c r="G55" i="3"/>
  <c r="D56" i="3"/>
  <c r="E56" i="3"/>
  <c r="H55" i="3"/>
  <c r="I50" i="31"/>
  <c r="H53" i="23"/>
  <c r="I53" i="23" s="1"/>
  <c r="D55" i="25"/>
  <c r="E55" i="25"/>
  <c r="D57" i="6"/>
  <c r="E57" i="6"/>
  <c r="H56" i="6"/>
  <c r="I56" i="6" s="1"/>
  <c r="D59" i="5"/>
  <c r="E59" i="5" s="1"/>
  <c r="F59" i="5" s="1"/>
  <c r="G59" i="5" s="1"/>
  <c r="H58" i="5"/>
  <c r="F59" i="7"/>
  <c r="G59" i="7" s="1"/>
  <c r="B59" i="7"/>
  <c r="G47" i="38"/>
  <c r="E54" i="23"/>
  <c r="D54" i="23"/>
  <c r="D59" i="4"/>
  <c r="E59" i="4" s="1"/>
  <c r="H47" i="37"/>
  <c r="D48" i="37"/>
  <c r="G47" i="37"/>
  <c r="G51" i="45"/>
  <c r="D52" i="45"/>
  <c r="H45" i="46"/>
  <c r="D46" i="46"/>
  <c r="E46" i="46"/>
  <c r="F46" i="41"/>
  <c r="H46" i="41" s="1"/>
  <c r="B46" i="41"/>
  <c r="F47" i="39"/>
  <c r="B47" i="39"/>
  <c r="B52" i="29"/>
  <c r="G59" i="11"/>
  <c r="I59" i="11" s="1"/>
  <c r="D60" i="11"/>
  <c r="E60" i="11" s="1"/>
  <c r="F60" i="11" s="1"/>
  <c r="H46" i="42"/>
  <c r="I46" i="42" s="1"/>
  <c r="D47" i="42"/>
  <c r="E47" i="42"/>
  <c r="I51" i="29"/>
  <c r="E48" i="38"/>
  <c r="F48" i="38" s="1"/>
  <c r="B48" i="38"/>
  <c r="H51" i="28"/>
  <c r="I51" i="28" s="1"/>
  <c r="D52" i="28"/>
  <c r="E52" i="28"/>
  <c r="E46" i="43"/>
  <c r="F46" i="43" s="1"/>
  <c r="H46" i="43" s="1"/>
  <c r="B46" i="43"/>
  <c r="F55" i="22"/>
  <c r="G55" i="22" s="1"/>
  <c r="B55" i="22"/>
  <c r="B46" i="40"/>
  <c r="F46" i="40"/>
  <c r="H46" i="40" s="1"/>
  <c r="H51" i="45"/>
  <c r="H47" i="38"/>
  <c r="G45" i="46"/>
  <c r="H51" i="44" l="1"/>
  <c r="I51" i="44" s="1"/>
  <c r="E52" i="44"/>
  <c r="D52" i="44"/>
  <c r="F53" i="27"/>
  <c r="G53" i="27" s="1"/>
  <c r="G49" i="30"/>
  <c r="I49" i="30" s="1"/>
  <c r="D50" i="30"/>
  <c r="E50" i="30"/>
  <c r="F51" i="31"/>
  <c r="H51" i="31" s="1"/>
  <c r="B53" i="27"/>
  <c r="D61" i="10"/>
  <c r="E61" i="10" s="1"/>
  <c r="F61" i="10" s="1"/>
  <c r="B60" i="10"/>
  <c r="H60" i="10"/>
  <c r="G60" i="10"/>
  <c r="H57" i="9"/>
  <c r="E58" i="9"/>
  <c r="F58" i="9" s="1"/>
  <c r="G58" i="9" s="1"/>
  <c r="G57" i="9"/>
  <c r="F57" i="8"/>
  <c r="H57" i="8" s="1"/>
  <c r="B57" i="8"/>
  <c r="B58" i="9"/>
  <c r="F56" i="3"/>
  <c r="H56" i="3" s="1"/>
  <c r="B56" i="3"/>
  <c r="E55" i="24"/>
  <c r="G54" i="24"/>
  <c r="D55" i="24"/>
  <c r="I55" i="3"/>
  <c r="H54" i="24"/>
  <c r="B59" i="5"/>
  <c r="I51" i="45"/>
  <c r="F55" i="25"/>
  <c r="G55" i="25" s="1"/>
  <c r="B55" i="25"/>
  <c r="G46" i="40"/>
  <c r="I46" i="40" s="1"/>
  <c r="E52" i="31"/>
  <c r="F57" i="6"/>
  <c r="H57" i="6" s="1"/>
  <c r="B57" i="6"/>
  <c r="D60" i="7"/>
  <c r="E60" i="7" s="1"/>
  <c r="F60" i="7" s="1"/>
  <c r="F46" i="46"/>
  <c r="E47" i="46" s="1"/>
  <c r="H59" i="7"/>
  <c r="I59" i="7" s="1"/>
  <c r="I45" i="46"/>
  <c r="I47" i="38"/>
  <c r="F54" i="23"/>
  <c r="H54" i="23" s="1"/>
  <c r="B54" i="23"/>
  <c r="B59" i="4"/>
  <c r="F59" i="4"/>
  <c r="H59" i="4" s="1"/>
  <c r="I47" i="37"/>
  <c r="H48" i="38"/>
  <c r="D49" i="38"/>
  <c r="G48" i="38"/>
  <c r="E52" i="45"/>
  <c r="F52" i="45" s="1"/>
  <c r="B52" i="45"/>
  <c r="B47" i="42"/>
  <c r="F47" i="42"/>
  <c r="H47" i="42" s="1"/>
  <c r="G52" i="29"/>
  <c r="I52" i="29" s="1"/>
  <c r="D53" i="29"/>
  <c r="E53" i="29"/>
  <c r="G46" i="43"/>
  <c r="I46" i="43" s="1"/>
  <c r="D47" i="43"/>
  <c r="E47" i="43"/>
  <c r="G60" i="11"/>
  <c r="D61" i="11"/>
  <c r="G46" i="41"/>
  <c r="I46" i="41" s="1"/>
  <c r="D47" i="41"/>
  <c r="B46" i="46"/>
  <c r="B60" i="11"/>
  <c r="H60" i="11"/>
  <c r="H47" i="39"/>
  <c r="D48" i="39"/>
  <c r="E48" i="39"/>
  <c r="H59" i="5"/>
  <c r="D60" i="5"/>
  <c r="E60" i="5" s="1"/>
  <c r="H55" i="22"/>
  <c r="I55" i="22" s="1"/>
  <c r="D56" i="22"/>
  <c r="E56" i="22"/>
  <c r="E48" i="37"/>
  <c r="F48" i="37" s="1"/>
  <c r="B48" i="37"/>
  <c r="H53" i="27"/>
  <c r="I53" i="27" s="1"/>
  <c r="D54" i="27"/>
  <c r="E54" i="27" s="1"/>
  <c r="D47" i="40"/>
  <c r="E47" i="40"/>
  <c r="F52" i="28"/>
  <c r="B52" i="28"/>
  <c r="G47" i="39"/>
  <c r="D52" i="31" l="1"/>
  <c r="F52" i="44"/>
  <c r="B52" i="44"/>
  <c r="G52" i="44"/>
  <c r="G51" i="31"/>
  <c r="I51" i="31" s="1"/>
  <c r="B50" i="30"/>
  <c r="F50" i="30"/>
  <c r="G50" i="30" s="1"/>
  <c r="I57" i="9"/>
  <c r="D62" i="10"/>
  <c r="B62" i="10" s="1"/>
  <c r="I60" i="10"/>
  <c r="B61" i="10"/>
  <c r="G61" i="10"/>
  <c r="H61" i="10"/>
  <c r="I54" i="24"/>
  <c r="G57" i="8"/>
  <c r="I57" i="8" s="1"/>
  <c r="H58" i="9"/>
  <c r="I58" i="9" s="1"/>
  <c r="D59" i="9"/>
  <c r="E58" i="8"/>
  <c r="D58" i="8"/>
  <c r="G46" i="46"/>
  <c r="H46" i="46"/>
  <c r="D47" i="46"/>
  <c r="F47" i="46" s="1"/>
  <c r="H47" i="46" s="1"/>
  <c r="I47" i="39"/>
  <c r="F55" i="24"/>
  <c r="H55" i="24" s="1"/>
  <c r="B55" i="24"/>
  <c r="G56" i="3"/>
  <c r="I56" i="3" s="1"/>
  <c r="E57" i="3"/>
  <c r="D57" i="3"/>
  <c r="G57" i="6"/>
  <c r="I57" i="6" s="1"/>
  <c r="E58" i="6"/>
  <c r="D58" i="6"/>
  <c r="I60" i="11"/>
  <c r="F52" i="31"/>
  <c r="G52" i="31" s="1"/>
  <c r="B52" i="31"/>
  <c r="H55" i="25"/>
  <c r="I55" i="25" s="1"/>
  <c r="D56" i="25"/>
  <c r="E56" i="25"/>
  <c r="G59" i="4"/>
  <c r="I59" i="4" s="1"/>
  <c r="G60" i="7"/>
  <c r="D61" i="7"/>
  <c r="E61" i="7" s="1"/>
  <c r="F61" i="7" s="1"/>
  <c r="D62" i="7" s="1"/>
  <c r="B60" i="7"/>
  <c r="H60" i="7"/>
  <c r="G54" i="23"/>
  <c r="I54" i="23" s="1"/>
  <c r="D55" i="23"/>
  <c r="E55" i="23"/>
  <c r="I48" i="38"/>
  <c r="D60" i="4"/>
  <c r="E60" i="4" s="1"/>
  <c r="F60" i="4" s="1"/>
  <c r="G48" i="37"/>
  <c r="D49" i="37"/>
  <c r="E49" i="37"/>
  <c r="H48" i="37"/>
  <c r="G52" i="45"/>
  <c r="D53" i="45"/>
  <c r="H52" i="45"/>
  <c r="B54" i="27"/>
  <c r="E49" i="38"/>
  <c r="F49" i="38" s="1"/>
  <c r="G49" i="38" s="1"/>
  <c r="B49" i="38"/>
  <c r="G52" i="28"/>
  <c r="D53" i="28"/>
  <c r="E53" i="28"/>
  <c r="F47" i="40"/>
  <c r="B47" i="40"/>
  <c r="F53" i="29"/>
  <c r="B53" i="29"/>
  <c r="F60" i="5"/>
  <c r="G60" i="5" s="1"/>
  <c r="E47" i="41"/>
  <c r="F47" i="41" s="1"/>
  <c r="B47" i="41"/>
  <c r="B60" i="5"/>
  <c r="B47" i="43"/>
  <c r="F47" i="43"/>
  <c r="H47" i="43" s="1"/>
  <c r="H52" i="28"/>
  <c r="E61" i="11"/>
  <c r="F61" i="11" s="1"/>
  <c r="B61" i="11"/>
  <c r="G47" i="42"/>
  <c r="I47" i="42" s="1"/>
  <c r="D48" i="42"/>
  <c r="E48" i="42"/>
  <c r="B48" i="39"/>
  <c r="F48" i="39"/>
  <c r="G48" i="39" s="1"/>
  <c r="F54" i="27"/>
  <c r="B56" i="22"/>
  <c r="F56" i="22"/>
  <c r="G56" i="22" s="1"/>
  <c r="E62" i="10" l="1"/>
  <c r="F62" i="10" s="1"/>
  <c r="G62" i="10" s="1"/>
  <c r="H52" i="44"/>
  <c r="I52" i="44" s="1"/>
  <c r="D53" i="44"/>
  <c r="E53" i="44"/>
  <c r="H50" i="30"/>
  <c r="I50" i="30" s="1"/>
  <c r="D63" i="10"/>
  <c r="E63" i="10" s="1"/>
  <c r="F63" i="10" s="1"/>
  <c r="I61" i="10"/>
  <c r="D51" i="30"/>
  <c r="E51" i="30"/>
  <c r="H62" i="10"/>
  <c r="I62" i="10" s="1"/>
  <c r="I46" i="46"/>
  <c r="B47" i="46"/>
  <c r="E59" i="9"/>
  <c r="F59" i="9" s="1"/>
  <c r="H59" i="9" s="1"/>
  <c r="B59" i="9"/>
  <c r="F58" i="8"/>
  <c r="D59" i="8" s="1"/>
  <c r="B58" i="8"/>
  <c r="G47" i="43"/>
  <c r="I47" i="43" s="1"/>
  <c r="B57" i="3"/>
  <c r="F57" i="3"/>
  <c r="H57" i="3" s="1"/>
  <c r="I60" i="7"/>
  <c r="G55" i="24"/>
  <c r="I55" i="24" s="1"/>
  <c r="E56" i="24"/>
  <c r="D56" i="24"/>
  <c r="H52" i="31"/>
  <c r="I52" i="31" s="1"/>
  <c r="D53" i="31"/>
  <c r="E53" i="31"/>
  <c r="B58" i="6"/>
  <c r="F58" i="6"/>
  <c r="G58" i="6" s="1"/>
  <c r="B56" i="25"/>
  <c r="F56" i="25"/>
  <c r="H56" i="25" s="1"/>
  <c r="E62" i="7"/>
  <c r="F62" i="7" s="1"/>
  <c r="D63" i="7" s="1"/>
  <c r="B62" i="7"/>
  <c r="B61" i="7"/>
  <c r="H61" i="7"/>
  <c r="G61" i="7"/>
  <c r="G47" i="46"/>
  <c r="I47" i="46" s="1"/>
  <c r="I52" i="45"/>
  <c r="B55" i="23"/>
  <c r="F55" i="23"/>
  <c r="H55" i="23" s="1"/>
  <c r="B60" i="4"/>
  <c r="G60" i="4"/>
  <c r="H60" i="4"/>
  <c r="D61" i="4"/>
  <c r="E61" i="4" s="1"/>
  <c r="H47" i="41"/>
  <c r="D48" i="41"/>
  <c r="E48" i="41"/>
  <c r="G47" i="41"/>
  <c r="H61" i="11"/>
  <c r="D62" i="11"/>
  <c r="E62" i="11" s="1"/>
  <c r="F62" i="11" s="1"/>
  <c r="G61" i="11"/>
  <c r="F49" i="37"/>
  <c r="G49" i="37" s="1"/>
  <c r="B49" i="37"/>
  <c r="H53" i="29"/>
  <c r="D54" i="29"/>
  <c r="E54" i="29"/>
  <c r="B63" i="10"/>
  <c r="H63" i="10"/>
  <c r="G47" i="40"/>
  <c r="D48" i="40"/>
  <c r="H56" i="22"/>
  <c r="I56" i="22" s="1"/>
  <c r="D57" i="22"/>
  <c r="E57" i="22"/>
  <c r="G54" i="27"/>
  <c r="D55" i="27"/>
  <c r="E55" i="27" s="1"/>
  <c r="F55" i="27" s="1"/>
  <c r="H60" i="5"/>
  <c r="D61" i="5"/>
  <c r="E61" i="5" s="1"/>
  <c r="G63" i="10"/>
  <c r="D64" i="10"/>
  <c r="E64" i="10" s="1"/>
  <c r="F64" i="10" s="1"/>
  <c r="I52" i="28"/>
  <c r="D48" i="43"/>
  <c r="E48" i="43"/>
  <c r="H47" i="40"/>
  <c r="H54" i="27"/>
  <c r="I48" i="37"/>
  <c r="H48" i="39"/>
  <c r="I48" i="39" s="1"/>
  <c r="D49" i="39"/>
  <c r="E49" i="39"/>
  <c r="H49" i="38"/>
  <c r="I49" i="38" s="1"/>
  <c r="D50" i="38"/>
  <c r="E50" i="38"/>
  <c r="E53" i="45"/>
  <c r="F53" i="45" s="1"/>
  <c r="B53" i="45"/>
  <c r="F48" i="42"/>
  <c r="D49" i="42" s="1"/>
  <c r="B48" i="42"/>
  <c r="G53" i="29"/>
  <c r="D48" i="46"/>
  <c r="E48" i="46"/>
  <c r="B53" i="28"/>
  <c r="F53" i="28"/>
  <c r="G53" i="28" s="1"/>
  <c r="F53" i="44" l="1"/>
  <c r="B53" i="44"/>
  <c r="G53" i="44"/>
  <c r="H53" i="44"/>
  <c r="I53" i="44" s="1"/>
  <c r="F51" i="30"/>
  <c r="H51" i="30" s="1"/>
  <c r="B51" i="30"/>
  <c r="H58" i="8"/>
  <c r="G58" i="8"/>
  <c r="E59" i="8"/>
  <c r="F59" i="8" s="1"/>
  <c r="D60" i="8" s="1"/>
  <c r="B59" i="8"/>
  <c r="G59" i="9"/>
  <c r="I59" i="9" s="1"/>
  <c r="D60" i="9"/>
  <c r="B56" i="24"/>
  <c r="F56" i="24"/>
  <c r="G56" i="24" s="1"/>
  <c r="G57" i="3"/>
  <c r="I57" i="3" s="1"/>
  <c r="D58" i="3"/>
  <c r="E58" i="3"/>
  <c r="G56" i="25"/>
  <c r="I56" i="25" s="1"/>
  <c r="D57" i="25"/>
  <c r="E57" i="25"/>
  <c r="B53" i="31"/>
  <c r="F53" i="31"/>
  <c r="G53" i="31" s="1"/>
  <c r="G62" i="7"/>
  <c r="H62" i="7"/>
  <c r="H58" i="6"/>
  <c r="I58" i="6" s="1"/>
  <c r="D59" i="6"/>
  <c r="G55" i="23"/>
  <c r="I55" i="23" s="1"/>
  <c r="I61" i="7"/>
  <c r="E63" i="7"/>
  <c r="F63" i="7" s="1"/>
  <c r="D64" i="7" s="1"/>
  <c r="B63" i="7"/>
  <c r="E56" i="23"/>
  <c r="D56" i="23"/>
  <c r="G48" i="42"/>
  <c r="B61" i="4"/>
  <c r="F61" i="4"/>
  <c r="G61" i="4" s="1"/>
  <c r="I47" i="40"/>
  <c r="I60" i="4"/>
  <c r="G53" i="45"/>
  <c r="D54" i="45"/>
  <c r="H53" i="45"/>
  <c r="H62" i="11"/>
  <c r="D63" i="11"/>
  <c r="E63" i="11" s="1"/>
  <c r="F63" i="11" s="1"/>
  <c r="H64" i="10"/>
  <c r="D65" i="10"/>
  <c r="E65" i="10" s="1"/>
  <c r="F65" i="10" s="1"/>
  <c r="H55" i="27"/>
  <c r="D56" i="27"/>
  <c r="E56" i="27" s="1"/>
  <c r="I63" i="10"/>
  <c r="H53" i="28"/>
  <c r="I53" i="28" s="1"/>
  <c r="D54" i="28"/>
  <c r="E54" i="28"/>
  <c r="H48" i="42"/>
  <c r="B64" i="10"/>
  <c r="G64" i="10"/>
  <c r="B55" i="27"/>
  <c r="G55" i="27"/>
  <c r="E49" i="42"/>
  <c r="F49" i="42" s="1"/>
  <c r="B49" i="42"/>
  <c r="B48" i="43"/>
  <c r="F48" i="43"/>
  <c r="G48" i="43" s="1"/>
  <c r="F61" i="5"/>
  <c r="G61" i="5" s="1"/>
  <c r="B54" i="29"/>
  <c r="F54" i="29"/>
  <c r="G54" i="29" s="1"/>
  <c r="I61" i="11"/>
  <c r="B62" i="11"/>
  <c r="G62" i="11"/>
  <c r="F48" i="46"/>
  <c r="B48" i="46"/>
  <c r="B49" i="39"/>
  <c r="F49" i="39"/>
  <c r="H49" i="39" s="1"/>
  <c r="B61" i="5"/>
  <c r="I53" i="29"/>
  <c r="I47" i="41"/>
  <c r="F57" i="22"/>
  <c r="G57" i="22" s="1"/>
  <c r="E48" i="40"/>
  <c r="F48" i="40" s="1"/>
  <c r="B48" i="40"/>
  <c r="B57" i="22"/>
  <c r="B48" i="41"/>
  <c r="F48" i="41"/>
  <c r="G48" i="41" s="1"/>
  <c r="B50" i="38"/>
  <c r="F50" i="38"/>
  <c r="H50" i="38" s="1"/>
  <c r="I54" i="27"/>
  <c r="H49" i="37"/>
  <c r="I49" i="37" s="1"/>
  <c r="D50" i="37"/>
  <c r="E50" i="37"/>
  <c r="D54" i="44" l="1"/>
  <c r="E54" i="44"/>
  <c r="G51" i="30"/>
  <c r="I51" i="30" s="1"/>
  <c r="D52" i="30"/>
  <c r="E52" i="30"/>
  <c r="G59" i="8"/>
  <c r="I58" i="8"/>
  <c r="H59" i="8"/>
  <c r="E60" i="9"/>
  <c r="F60" i="9" s="1"/>
  <c r="H60" i="9" s="1"/>
  <c r="B60" i="9"/>
  <c r="E60" i="8"/>
  <c r="F60" i="8" s="1"/>
  <c r="H60" i="8" s="1"/>
  <c r="B60" i="8"/>
  <c r="I62" i="7"/>
  <c r="F58" i="3"/>
  <c r="B58" i="3"/>
  <c r="E57" i="24"/>
  <c r="D57" i="24"/>
  <c r="H56" i="24"/>
  <c r="I56" i="24" s="1"/>
  <c r="I48" i="42"/>
  <c r="D54" i="31"/>
  <c r="E54" i="31"/>
  <c r="E59" i="6"/>
  <c r="F59" i="6" s="1"/>
  <c r="D60" i="6" s="1"/>
  <c r="B59" i="6"/>
  <c r="F57" i="25"/>
  <c r="G57" i="25" s="1"/>
  <c r="B57" i="25"/>
  <c r="H53" i="31"/>
  <c r="I53" i="31" s="1"/>
  <c r="G63" i="7"/>
  <c r="F54" i="28"/>
  <c r="H54" i="28" s="1"/>
  <c r="H63" i="7"/>
  <c r="E64" i="7"/>
  <c r="F64" i="7" s="1"/>
  <c r="H64" i="7" s="1"/>
  <c r="B64" i="7"/>
  <c r="B56" i="23"/>
  <c r="F56" i="23"/>
  <c r="G56" i="23" s="1"/>
  <c r="G49" i="42"/>
  <c r="H49" i="42"/>
  <c r="D62" i="4"/>
  <c r="G49" i="39"/>
  <c r="I49" i="39" s="1"/>
  <c r="H61" i="4"/>
  <c r="I61" i="4" s="1"/>
  <c r="G48" i="40"/>
  <c r="D49" i="40"/>
  <c r="E49" i="40"/>
  <c r="H48" i="40"/>
  <c r="H65" i="10"/>
  <c r="D66" i="10"/>
  <c r="E66" i="10" s="1"/>
  <c r="F66" i="10" s="1"/>
  <c r="G50" i="38"/>
  <c r="I50" i="38" s="1"/>
  <c r="D51" i="38"/>
  <c r="B54" i="28"/>
  <c r="I64" i="10"/>
  <c r="B63" i="11"/>
  <c r="H63" i="11"/>
  <c r="D49" i="46"/>
  <c r="E49" i="46"/>
  <c r="G63" i="11"/>
  <c r="D64" i="11"/>
  <c r="E64" i="11" s="1"/>
  <c r="F64" i="11" s="1"/>
  <c r="D50" i="39"/>
  <c r="E50" i="39"/>
  <c r="I62" i="11"/>
  <c r="H48" i="43"/>
  <c r="I48" i="43" s="1"/>
  <c r="D49" i="43"/>
  <c r="E49" i="43"/>
  <c r="F50" i="37"/>
  <c r="G50" i="37" s="1"/>
  <c r="B50" i="37"/>
  <c r="I53" i="45"/>
  <c r="H48" i="41"/>
  <c r="I48" i="41" s="1"/>
  <c r="D49" i="41"/>
  <c r="E49" i="41"/>
  <c r="G48" i="46"/>
  <c r="H54" i="29"/>
  <c r="I54" i="29" s="1"/>
  <c r="D55" i="29"/>
  <c r="E55" i="29"/>
  <c r="D50" i="42"/>
  <c r="E50" i="42"/>
  <c r="F56" i="27"/>
  <c r="G56" i="27" s="1"/>
  <c r="E54" i="45"/>
  <c r="F54" i="45" s="1"/>
  <c r="B54" i="45"/>
  <c r="B65" i="10"/>
  <c r="G65" i="10"/>
  <c r="H57" i="22"/>
  <c r="I57" i="22" s="1"/>
  <c r="D58" i="22"/>
  <c r="E58" i="22" s="1"/>
  <c r="H48" i="46"/>
  <c r="B56" i="27"/>
  <c r="H61" i="5"/>
  <c r="D62" i="5"/>
  <c r="E62" i="5" s="1"/>
  <c r="F62" i="5" s="1"/>
  <c r="I55" i="27"/>
  <c r="I59" i="8" l="1"/>
  <c r="F54" i="44"/>
  <c r="B54" i="44"/>
  <c r="G54" i="44"/>
  <c r="B52" i="30"/>
  <c r="F52" i="30"/>
  <c r="G52" i="30" s="1"/>
  <c r="H52" i="30"/>
  <c r="H57" i="25"/>
  <c r="I57" i="25" s="1"/>
  <c r="G60" i="8"/>
  <c r="I60" i="8" s="1"/>
  <c r="D61" i="8"/>
  <c r="E61" i="8" s="1"/>
  <c r="F61" i="8" s="1"/>
  <c r="G60" i="9"/>
  <c r="I60" i="9" s="1"/>
  <c r="D61" i="9"/>
  <c r="G58" i="3"/>
  <c r="D59" i="3"/>
  <c r="B57" i="24"/>
  <c r="F57" i="24"/>
  <c r="G57" i="24" s="1"/>
  <c r="H58" i="3"/>
  <c r="D55" i="28"/>
  <c r="G54" i="28"/>
  <c r="I54" i="28" s="1"/>
  <c r="E55" i="28"/>
  <c r="G64" i="7"/>
  <c r="I64" i="7" s="1"/>
  <c r="G59" i="6"/>
  <c r="E60" i="6"/>
  <c r="F60" i="6" s="1"/>
  <c r="G60" i="6" s="1"/>
  <c r="B60" i="6"/>
  <c r="F54" i="31"/>
  <c r="G54" i="31" s="1"/>
  <c r="B54" i="31"/>
  <c r="I63" i="7"/>
  <c r="E58" i="25"/>
  <c r="D58" i="25"/>
  <c r="I49" i="42"/>
  <c r="H59" i="6"/>
  <c r="D65" i="7"/>
  <c r="E65" i="7" s="1"/>
  <c r="F65" i="7" s="1"/>
  <c r="D66" i="7" s="1"/>
  <c r="H56" i="23"/>
  <c r="I56" i="23" s="1"/>
  <c r="F49" i="46"/>
  <c r="H49" i="46" s="1"/>
  <c r="I48" i="40"/>
  <c r="E57" i="23"/>
  <c r="D57" i="23"/>
  <c r="I63" i="11"/>
  <c r="I48" i="46"/>
  <c r="B62" i="4"/>
  <c r="F55" i="29"/>
  <c r="H55" i="29" s="1"/>
  <c r="E62" i="4"/>
  <c r="F62" i="4" s="1"/>
  <c r="H62" i="5"/>
  <c r="D63" i="5"/>
  <c r="E63" i="5" s="1"/>
  <c r="F63" i="5" s="1"/>
  <c r="H64" i="11"/>
  <c r="D65" i="11"/>
  <c r="H66" i="10"/>
  <c r="D67" i="10"/>
  <c r="E67" i="10" s="1"/>
  <c r="F67" i="10" s="1"/>
  <c r="G54" i="45"/>
  <c r="D55" i="45"/>
  <c r="H54" i="45"/>
  <c r="E51" i="38"/>
  <c r="F51" i="38" s="1"/>
  <c r="H51" i="38" s="1"/>
  <c r="B51" i="38"/>
  <c r="F50" i="39"/>
  <c r="G50" i="39" s="1"/>
  <c r="B50" i="39"/>
  <c r="B49" i="41"/>
  <c r="F49" i="41"/>
  <c r="H49" i="41" s="1"/>
  <c r="F50" i="42"/>
  <c r="G50" i="42" s="1"/>
  <c r="B50" i="42"/>
  <c r="H56" i="27"/>
  <c r="I56" i="27" s="1"/>
  <c r="D57" i="27"/>
  <c r="E57" i="27" s="1"/>
  <c r="F57" i="27" s="1"/>
  <c r="B62" i="5"/>
  <c r="G62" i="5"/>
  <c r="H50" i="37"/>
  <c r="I50" i="37" s="1"/>
  <c r="D51" i="37"/>
  <c r="B64" i="11"/>
  <c r="G64" i="11"/>
  <c r="B55" i="29"/>
  <c r="B58" i="22"/>
  <c r="F49" i="43"/>
  <c r="G49" i="43" s="1"/>
  <c r="B49" i="43"/>
  <c r="B66" i="10"/>
  <c r="G66" i="10"/>
  <c r="B49" i="40"/>
  <c r="F49" i="40"/>
  <c r="H49" i="40" s="1"/>
  <c r="F58" i="22"/>
  <c r="G58" i="22" s="1"/>
  <c r="B49" i="46"/>
  <c r="I65" i="10"/>
  <c r="H54" i="44" l="1"/>
  <c r="I54" i="44" s="1"/>
  <c r="E55" i="44"/>
  <c r="D55" i="44"/>
  <c r="I52" i="30"/>
  <c r="E53" i="30"/>
  <c r="D53" i="30"/>
  <c r="H60" i="6"/>
  <c r="I60" i="6" s="1"/>
  <c r="F55" i="28"/>
  <c r="H55" i="28" s="1"/>
  <c r="G61" i="8"/>
  <c r="D62" i="8"/>
  <c r="B61" i="8"/>
  <c r="H61" i="8"/>
  <c r="I61" i="8" s="1"/>
  <c r="I58" i="3"/>
  <c r="E61" i="9"/>
  <c r="F61" i="9" s="1"/>
  <c r="B61" i="9"/>
  <c r="B55" i="28"/>
  <c r="H57" i="24"/>
  <c r="I57" i="24" s="1"/>
  <c r="D58" i="24"/>
  <c r="E59" i="3"/>
  <c r="F59" i="3" s="1"/>
  <c r="G59" i="3" s="1"/>
  <c r="B59" i="3"/>
  <c r="I59" i="6"/>
  <c r="D55" i="31"/>
  <c r="E55" i="31"/>
  <c r="B58" i="25"/>
  <c r="F58" i="25"/>
  <c r="H58" i="25" s="1"/>
  <c r="I54" i="45"/>
  <c r="H54" i="31"/>
  <c r="I54" i="31" s="1"/>
  <c r="D61" i="6"/>
  <c r="E61" i="6" s="1"/>
  <c r="F61" i="6" s="1"/>
  <c r="I64" i="11"/>
  <c r="E50" i="46"/>
  <c r="G55" i="29"/>
  <c r="I55" i="29" s="1"/>
  <c r="E56" i="29"/>
  <c r="D50" i="46"/>
  <c r="B50" i="46" s="1"/>
  <c r="D56" i="29"/>
  <c r="B56" i="29" s="1"/>
  <c r="G49" i="46"/>
  <c r="I49" i="46" s="1"/>
  <c r="E66" i="7"/>
  <c r="F66" i="7" s="1"/>
  <c r="D67" i="7" s="1"/>
  <c r="B66" i="7"/>
  <c r="H65" i="7"/>
  <c r="G65" i="7"/>
  <c r="B65" i="7"/>
  <c r="F57" i="23"/>
  <c r="G57" i="23" s="1"/>
  <c r="B57" i="23"/>
  <c r="D63" i="4"/>
  <c r="E63" i="4" s="1"/>
  <c r="F63" i="4" s="1"/>
  <c r="G62" i="4"/>
  <c r="H62" i="4"/>
  <c r="G63" i="5"/>
  <c r="D64" i="5"/>
  <c r="E64" i="5" s="1"/>
  <c r="F64" i="5" s="1"/>
  <c r="B57" i="27"/>
  <c r="G57" i="27"/>
  <c r="E55" i="45"/>
  <c r="F55" i="45" s="1"/>
  <c r="B55" i="45"/>
  <c r="G49" i="40"/>
  <c r="I49" i="40" s="1"/>
  <c r="D50" i="40"/>
  <c r="E51" i="37"/>
  <c r="F51" i="37" s="1"/>
  <c r="B51" i="37"/>
  <c r="H50" i="42"/>
  <c r="I50" i="42" s="1"/>
  <c r="D51" i="42"/>
  <c r="E51" i="42"/>
  <c r="G67" i="10"/>
  <c r="D68" i="10"/>
  <c r="E68" i="10" s="1"/>
  <c r="F68" i="10" s="1"/>
  <c r="H57" i="27"/>
  <c r="D58" i="27"/>
  <c r="H49" i="43"/>
  <c r="I49" i="43" s="1"/>
  <c r="D50" i="43"/>
  <c r="B67" i="10"/>
  <c r="H67" i="10"/>
  <c r="G49" i="41"/>
  <c r="I49" i="41" s="1"/>
  <c r="D50" i="41"/>
  <c r="G51" i="38"/>
  <c r="I51" i="38" s="1"/>
  <c r="D52" i="38"/>
  <c r="E52" i="38"/>
  <c r="I66" i="10"/>
  <c r="B63" i="5"/>
  <c r="H63" i="5"/>
  <c r="B65" i="11"/>
  <c r="H58" i="22"/>
  <c r="I58" i="22" s="1"/>
  <c r="D59" i="22"/>
  <c r="E59" i="22" s="1"/>
  <c r="D56" i="28"/>
  <c r="H50" i="39"/>
  <c r="I50" i="39" s="1"/>
  <c r="D51" i="39"/>
  <c r="E51" i="39"/>
  <c r="E65" i="11"/>
  <c r="F65" i="11" s="1"/>
  <c r="G65" i="11" s="1"/>
  <c r="G55" i="28" l="1"/>
  <c r="I55" i="28" s="1"/>
  <c r="E56" i="28"/>
  <c r="B55" i="44"/>
  <c r="F55" i="44"/>
  <c r="G55" i="44" s="1"/>
  <c r="F53" i="30"/>
  <c r="B53" i="30"/>
  <c r="I67" i="10"/>
  <c r="G61" i="9"/>
  <c r="D62" i="9"/>
  <c r="H61" i="9"/>
  <c r="E62" i="8"/>
  <c r="F62" i="8" s="1"/>
  <c r="D63" i="8" s="1"/>
  <c r="B62" i="8"/>
  <c r="H59" i="3"/>
  <c r="I59" i="3" s="1"/>
  <c r="I57" i="27"/>
  <c r="D60" i="3"/>
  <c r="E60" i="3" s="1"/>
  <c r="E58" i="24"/>
  <c r="F58" i="24" s="1"/>
  <c r="H58" i="24" s="1"/>
  <c r="B58" i="24"/>
  <c r="I65" i="7"/>
  <c r="E59" i="25"/>
  <c r="D59" i="25"/>
  <c r="F50" i="46"/>
  <c r="H50" i="46" s="1"/>
  <c r="G61" i="6"/>
  <c r="D62" i="6"/>
  <c r="G58" i="25"/>
  <c r="I58" i="25" s="1"/>
  <c r="B61" i="6"/>
  <c r="H61" i="6"/>
  <c r="F55" i="31"/>
  <c r="B55" i="31"/>
  <c r="H57" i="23"/>
  <c r="I57" i="23" s="1"/>
  <c r="H66" i="7"/>
  <c r="E67" i="7"/>
  <c r="F67" i="7" s="1"/>
  <c r="H67" i="7" s="1"/>
  <c r="B67" i="7"/>
  <c r="F56" i="29"/>
  <c r="G66" i="7"/>
  <c r="D58" i="23"/>
  <c r="E58" i="23" s="1"/>
  <c r="D56" i="45"/>
  <c r="B56" i="45" s="1"/>
  <c r="H55" i="45"/>
  <c r="D64" i="4"/>
  <c r="E64" i="4" s="1"/>
  <c r="F64" i="4" s="1"/>
  <c r="D65" i="4" s="1"/>
  <c r="I62" i="4"/>
  <c r="B63" i="4"/>
  <c r="H63" i="4"/>
  <c r="G63" i="4"/>
  <c r="E50" i="41"/>
  <c r="F50" i="41" s="1"/>
  <c r="B50" i="41"/>
  <c r="E50" i="43"/>
  <c r="F50" i="43" s="1"/>
  <c r="B50" i="43"/>
  <c r="B52" i="38"/>
  <c r="F52" i="38"/>
  <c r="G52" i="38" s="1"/>
  <c r="F51" i="42"/>
  <c r="H51" i="42" s="1"/>
  <c r="B51" i="42"/>
  <c r="B68" i="10"/>
  <c r="G68" i="10"/>
  <c r="F56" i="28"/>
  <c r="H56" i="28" s="1"/>
  <c r="E58" i="27"/>
  <c r="F58" i="27" s="1"/>
  <c r="B58" i="27"/>
  <c r="E50" i="40"/>
  <c r="F50" i="40" s="1"/>
  <c r="G50" i="40" s="1"/>
  <c r="B50" i="40"/>
  <c r="H51" i="37"/>
  <c r="D52" i="37"/>
  <c r="B56" i="28"/>
  <c r="H64" i="5"/>
  <c r="D65" i="5"/>
  <c r="E65" i="5" s="1"/>
  <c r="F65" i="5" s="1"/>
  <c r="H68" i="10"/>
  <c r="D69" i="10"/>
  <c r="E69" i="10" s="1"/>
  <c r="F69" i="10" s="1"/>
  <c r="H65" i="11"/>
  <c r="I65" i="11" s="1"/>
  <c r="D66" i="11"/>
  <c r="E56" i="45"/>
  <c r="B51" i="39"/>
  <c r="F51" i="39"/>
  <c r="D52" i="39" s="1"/>
  <c r="G51" i="37"/>
  <c r="F59" i="22"/>
  <c r="H59" i="22" s="1"/>
  <c r="B59" i="22"/>
  <c r="G55" i="45"/>
  <c r="B64" i="5"/>
  <c r="G64" i="5"/>
  <c r="H55" i="44" l="1"/>
  <c r="I55" i="44" s="1"/>
  <c r="D56" i="44"/>
  <c r="E56" i="44"/>
  <c r="G53" i="30"/>
  <c r="D54" i="30"/>
  <c r="E54" i="30"/>
  <c r="H53" i="30"/>
  <c r="G62" i="8"/>
  <c r="I61" i="9"/>
  <c r="H62" i="8"/>
  <c r="E63" i="8"/>
  <c r="F63" i="8" s="1"/>
  <c r="D64" i="8" s="1"/>
  <c r="B63" i="8"/>
  <c r="E62" i="9"/>
  <c r="F62" i="9" s="1"/>
  <c r="B62" i="9"/>
  <c r="I61" i="6"/>
  <c r="I55" i="45"/>
  <c r="G67" i="7"/>
  <c r="I67" i="7" s="1"/>
  <c r="G58" i="24"/>
  <c r="I58" i="24" s="1"/>
  <c r="D59" i="24"/>
  <c r="F60" i="3"/>
  <c r="H60" i="3" s="1"/>
  <c r="B60" i="3"/>
  <c r="B59" i="25"/>
  <c r="F59" i="25"/>
  <c r="H59" i="25" s="1"/>
  <c r="D51" i="46"/>
  <c r="E51" i="46"/>
  <c r="H55" i="31"/>
  <c r="D56" i="31"/>
  <c r="E56" i="31"/>
  <c r="E62" i="6"/>
  <c r="F62" i="6" s="1"/>
  <c r="B62" i="6"/>
  <c r="G50" i="46"/>
  <c r="I50" i="46" s="1"/>
  <c r="G55" i="31"/>
  <c r="G51" i="39"/>
  <c r="I66" i="7"/>
  <c r="G56" i="29"/>
  <c r="E57" i="29"/>
  <c r="H56" i="29"/>
  <c r="D57" i="29"/>
  <c r="F56" i="45"/>
  <c r="G56" i="45" s="1"/>
  <c r="D68" i="7"/>
  <c r="E68" i="7" s="1"/>
  <c r="F68" i="7" s="1"/>
  <c r="B58" i="23"/>
  <c r="F58" i="23"/>
  <c r="H58" i="23" s="1"/>
  <c r="I68" i="10"/>
  <c r="E65" i="4"/>
  <c r="F65" i="4" s="1"/>
  <c r="D66" i="4" s="1"/>
  <c r="B65" i="4"/>
  <c r="B64" i="4"/>
  <c r="G64" i="4"/>
  <c r="H64" i="4"/>
  <c r="I51" i="37"/>
  <c r="I63" i="4"/>
  <c r="G65" i="5"/>
  <c r="D66" i="5"/>
  <c r="E66" i="5" s="1"/>
  <c r="F66" i="5" s="1"/>
  <c r="G69" i="10"/>
  <c r="D70" i="10"/>
  <c r="E70" i="10" s="1"/>
  <c r="F70" i="10" s="1"/>
  <c r="B69" i="10"/>
  <c r="H69" i="10"/>
  <c r="G51" i="42"/>
  <c r="I51" i="42" s="1"/>
  <c r="D52" i="42"/>
  <c r="E52" i="42"/>
  <c r="G50" i="43"/>
  <c r="D51" i="43"/>
  <c r="E51" i="43"/>
  <c r="G58" i="27"/>
  <c r="D59" i="27"/>
  <c r="E59" i="27" s="1"/>
  <c r="F59" i="27" s="1"/>
  <c r="H50" i="41"/>
  <c r="D51" i="41"/>
  <c r="E51" i="41"/>
  <c r="E52" i="37"/>
  <c r="F52" i="37" s="1"/>
  <c r="H52" i="37" s="1"/>
  <c r="B52" i="37"/>
  <c r="G56" i="28"/>
  <c r="I56" i="28" s="1"/>
  <c r="D57" i="28"/>
  <c r="E57" i="28" s="1"/>
  <c r="F57" i="28" s="1"/>
  <c r="B66" i="11"/>
  <c r="E52" i="39"/>
  <c r="F52" i="39" s="1"/>
  <c r="G52" i="39" s="1"/>
  <c r="B52" i="39"/>
  <c r="H52" i="38"/>
  <c r="I52" i="38" s="1"/>
  <c r="D53" i="38"/>
  <c r="H50" i="43"/>
  <c r="G59" i="22"/>
  <c r="I59" i="22" s="1"/>
  <c r="D60" i="22"/>
  <c r="B65" i="5"/>
  <c r="H65" i="5"/>
  <c r="H50" i="40"/>
  <c r="I50" i="40" s="1"/>
  <c r="D51" i="40"/>
  <c r="E51" i="40"/>
  <c r="H51" i="39"/>
  <c r="E66" i="11"/>
  <c r="F66" i="11" s="1"/>
  <c r="H58" i="27"/>
  <c r="G50" i="41"/>
  <c r="I62" i="8" l="1"/>
  <c r="B56" i="44"/>
  <c r="F56" i="44"/>
  <c r="H56" i="44" s="1"/>
  <c r="G56" i="44"/>
  <c r="I53" i="30"/>
  <c r="B54" i="30"/>
  <c r="F54" i="30"/>
  <c r="H54" i="30" s="1"/>
  <c r="G63" i="8"/>
  <c r="H63" i="8"/>
  <c r="D63" i="9"/>
  <c r="E63" i="9" s="1"/>
  <c r="F63" i="9" s="1"/>
  <c r="G62" i="9"/>
  <c r="H62" i="9"/>
  <c r="E64" i="8"/>
  <c r="F64" i="8" s="1"/>
  <c r="D65" i="8" s="1"/>
  <c r="B64" i="8"/>
  <c r="H56" i="45"/>
  <c r="I56" i="45" s="1"/>
  <c r="D63" i="6"/>
  <c r="E63" i="6" s="1"/>
  <c r="F63" i="6" s="1"/>
  <c r="G62" i="6"/>
  <c r="H62" i="6"/>
  <c r="G60" i="3"/>
  <c r="I60" i="3" s="1"/>
  <c r="D61" i="3"/>
  <c r="G59" i="25"/>
  <c r="I59" i="25" s="1"/>
  <c r="E59" i="24"/>
  <c r="F59" i="24" s="1"/>
  <c r="B59" i="24"/>
  <c r="D60" i="25"/>
  <c r="B56" i="31"/>
  <c r="F56" i="31"/>
  <c r="G56" i="31" s="1"/>
  <c r="B51" i="46"/>
  <c r="F51" i="46"/>
  <c r="I51" i="39"/>
  <c r="D57" i="45"/>
  <c r="E57" i="45" s="1"/>
  <c r="F57" i="45" s="1"/>
  <c r="I55" i="31"/>
  <c r="I64" i="4"/>
  <c r="B57" i="29"/>
  <c r="H68" i="7"/>
  <c r="B68" i="7"/>
  <c r="G68" i="7"/>
  <c r="G65" i="4"/>
  <c r="I56" i="29"/>
  <c r="F57" i="29"/>
  <c r="G57" i="29" s="1"/>
  <c r="D69" i="7"/>
  <c r="E69" i="7" s="1"/>
  <c r="F69" i="7" s="1"/>
  <c r="I50" i="41"/>
  <c r="G58" i="23"/>
  <c r="I58" i="23" s="1"/>
  <c r="D59" i="23"/>
  <c r="E59" i="23" s="1"/>
  <c r="I58" i="27"/>
  <c r="H65" i="4"/>
  <c r="I69" i="10"/>
  <c r="E66" i="4"/>
  <c r="F66" i="4" s="1"/>
  <c r="G66" i="4" s="1"/>
  <c r="B66" i="4"/>
  <c r="H70" i="10"/>
  <c r="D71" i="10"/>
  <c r="E71" i="10" s="1"/>
  <c r="F71" i="10" s="1"/>
  <c r="H66" i="5"/>
  <c r="D67" i="5"/>
  <c r="E53" i="38"/>
  <c r="F53" i="38" s="1"/>
  <c r="H53" i="38" s="1"/>
  <c r="B53" i="38"/>
  <c r="B57" i="28"/>
  <c r="G57" i="28"/>
  <c r="B51" i="41"/>
  <c r="F51" i="41"/>
  <c r="H51" i="41" s="1"/>
  <c r="E60" i="22"/>
  <c r="F60" i="22" s="1"/>
  <c r="B60" i="22"/>
  <c r="H66" i="11"/>
  <c r="D67" i="11"/>
  <c r="E67" i="11" s="1"/>
  <c r="F67" i="11" s="1"/>
  <c r="G52" i="37"/>
  <c r="I52" i="37" s="1"/>
  <c r="D53" i="37"/>
  <c r="H59" i="27"/>
  <c r="D60" i="27"/>
  <c r="E60" i="27" s="1"/>
  <c r="F60" i="27" s="1"/>
  <c r="B66" i="5"/>
  <c r="G66" i="5"/>
  <c r="H57" i="28"/>
  <c r="D58" i="28"/>
  <c r="E58" i="28" s="1"/>
  <c r="B51" i="43"/>
  <c r="F51" i="43"/>
  <c r="G51" i="43" s="1"/>
  <c r="G66" i="11"/>
  <c r="B59" i="27"/>
  <c r="G59" i="27"/>
  <c r="B70" i="10"/>
  <c r="G70" i="10"/>
  <c r="H52" i="39"/>
  <c r="I52" i="39" s="1"/>
  <c r="D53" i="39"/>
  <c r="B51" i="40"/>
  <c r="F51" i="40"/>
  <c r="H51" i="40" s="1"/>
  <c r="I50" i="43"/>
  <c r="B52" i="42"/>
  <c r="F52" i="42"/>
  <c r="G52" i="42" s="1"/>
  <c r="I56" i="44" l="1"/>
  <c r="D57" i="44"/>
  <c r="E57" i="44"/>
  <c r="F57" i="44" s="1"/>
  <c r="G54" i="30"/>
  <c r="I54" i="30" s="1"/>
  <c r="D55" i="30"/>
  <c r="E55" i="30"/>
  <c r="B63" i="6"/>
  <c r="I63" i="8"/>
  <c r="I62" i="9"/>
  <c r="I62" i="6"/>
  <c r="B57" i="45"/>
  <c r="G64" i="8"/>
  <c r="G63" i="9"/>
  <c r="D64" i="9"/>
  <c r="E65" i="8"/>
  <c r="F65" i="8" s="1"/>
  <c r="D66" i="8" s="1"/>
  <c r="B65" i="8"/>
  <c r="H64" i="8"/>
  <c r="B63" i="9"/>
  <c r="H63" i="9"/>
  <c r="G59" i="24"/>
  <c r="D60" i="24"/>
  <c r="H59" i="24"/>
  <c r="D64" i="6"/>
  <c r="E64" i="6" s="1"/>
  <c r="F64" i="6" s="1"/>
  <c r="G63" i="6"/>
  <c r="E61" i="3"/>
  <c r="F61" i="3" s="1"/>
  <c r="G61" i="3" s="1"/>
  <c r="B61" i="3"/>
  <c r="H63" i="6"/>
  <c r="G51" i="46"/>
  <c r="E52" i="46"/>
  <c r="D52" i="46"/>
  <c r="B60" i="25"/>
  <c r="H56" i="31"/>
  <c r="I56" i="31" s="1"/>
  <c r="D57" i="31"/>
  <c r="E57" i="31" s="1"/>
  <c r="E60" i="25"/>
  <c r="F60" i="25" s="1"/>
  <c r="H51" i="46"/>
  <c r="I68" i="7"/>
  <c r="H66" i="4"/>
  <c r="I66" i="4" s="1"/>
  <c r="D70" i="7"/>
  <c r="E70" i="7" s="1"/>
  <c r="F70" i="7" s="1"/>
  <c r="B69" i="7"/>
  <c r="H69" i="7"/>
  <c r="G69" i="7"/>
  <c r="I65" i="4"/>
  <c r="D58" i="29"/>
  <c r="E58" i="29" s="1"/>
  <c r="H57" i="29"/>
  <c r="I57" i="29" s="1"/>
  <c r="F59" i="23"/>
  <c r="H59" i="23" s="1"/>
  <c r="B59" i="23"/>
  <c r="F58" i="28"/>
  <c r="D67" i="4"/>
  <c r="E67" i="4" s="1"/>
  <c r="F67" i="4" s="1"/>
  <c r="D58" i="45"/>
  <c r="G57" i="45"/>
  <c r="H57" i="45"/>
  <c r="I57" i="28"/>
  <c r="G67" i="11"/>
  <c r="D68" i="11"/>
  <c r="E68" i="11" s="1"/>
  <c r="F68" i="11" s="1"/>
  <c r="G53" i="38"/>
  <c r="I53" i="38" s="1"/>
  <c r="D54" i="38"/>
  <c r="E54" i="38"/>
  <c r="E53" i="37"/>
  <c r="F53" i="37" s="1"/>
  <c r="G53" i="37" s="1"/>
  <c r="B53" i="37"/>
  <c r="G51" i="40"/>
  <c r="I51" i="40" s="1"/>
  <c r="D52" i="40"/>
  <c r="H52" i="42"/>
  <c r="I52" i="42" s="1"/>
  <c r="D53" i="42"/>
  <c r="E53" i="42"/>
  <c r="E53" i="39"/>
  <c r="F53" i="39" s="1"/>
  <c r="B53" i="39"/>
  <c r="H60" i="27"/>
  <c r="D61" i="27"/>
  <c r="E61" i="27" s="1"/>
  <c r="F61" i="27" s="1"/>
  <c r="B67" i="11"/>
  <c r="H67" i="11"/>
  <c r="D72" i="10"/>
  <c r="E72" i="10" s="1"/>
  <c r="E73" i="10" s="1"/>
  <c r="H51" i="43"/>
  <c r="I51" i="43" s="1"/>
  <c r="D52" i="43"/>
  <c r="B60" i="27"/>
  <c r="G60" i="27"/>
  <c r="I66" i="11"/>
  <c r="B71" i="10"/>
  <c r="H71" i="10"/>
  <c r="G71" i="10"/>
  <c r="B67" i="5"/>
  <c r="B58" i="28"/>
  <c r="H60" i="22"/>
  <c r="D61" i="22"/>
  <c r="E61" i="22" s="1"/>
  <c r="F61" i="22" s="1"/>
  <c r="I59" i="27"/>
  <c r="G60" i="22"/>
  <c r="G51" i="41"/>
  <c r="I51" i="41" s="1"/>
  <c r="D52" i="41"/>
  <c r="E67" i="5"/>
  <c r="F67" i="5" s="1"/>
  <c r="I70" i="10"/>
  <c r="H57" i="44" l="1"/>
  <c r="D58" i="44"/>
  <c r="B57" i="44"/>
  <c r="G57" i="44"/>
  <c r="I57" i="44" s="1"/>
  <c r="B55" i="30"/>
  <c r="F55" i="30"/>
  <c r="H55" i="30" s="1"/>
  <c r="H65" i="8"/>
  <c r="I63" i="9"/>
  <c r="I64" i="8"/>
  <c r="G65" i="8"/>
  <c r="E64" i="9"/>
  <c r="F64" i="9" s="1"/>
  <c r="D65" i="9" s="1"/>
  <c r="B64" i="9"/>
  <c r="E66" i="8"/>
  <c r="F66" i="8" s="1"/>
  <c r="D67" i="8" s="1"/>
  <c r="B66" i="8"/>
  <c r="G59" i="23"/>
  <c r="I59" i="23" s="1"/>
  <c r="H64" i="6"/>
  <c r="G64" i="6"/>
  <c r="B64" i="6"/>
  <c r="D62" i="3"/>
  <c r="E62" i="3" s="1"/>
  <c r="F62" i="3" s="1"/>
  <c r="I59" i="24"/>
  <c r="I63" i="6"/>
  <c r="E60" i="24"/>
  <c r="F60" i="24" s="1"/>
  <c r="B60" i="24"/>
  <c r="H61" i="3"/>
  <c r="I61" i="3" s="1"/>
  <c r="I57" i="45"/>
  <c r="I51" i="46"/>
  <c r="G60" i="25"/>
  <c r="D61" i="25"/>
  <c r="H60" i="25"/>
  <c r="F57" i="31"/>
  <c r="B57" i="31"/>
  <c r="D65" i="6"/>
  <c r="E65" i="6" s="1"/>
  <c r="F65" i="6" s="1"/>
  <c r="F52" i="46"/>
  <c r="B52" i="46"/>
  <c r="B58" i="29"/>
  <c r="F58" i="29"/>
  <c r="G58" i="29" s="1"/>
  <c r="I69" i="7"/>
  <c r="D71" i="7"/>
  <c r="E71" i="7" s="1"/>
  <c r="F71" i="7" s="1"/>
  <c r="B70" i="7"/>
  <c r="H70" i="7"/>
  <c r="G70" i="7"/>
  <c r="H58" i="28"/>
  <c r="D59" i="28"/>
  <c r="D60" i="23"/>
  <c r="E60" i="23" s="1"/>
  <c r="G58" i="28"/>
  <c r="G67" i="4"/>
  <c r="B67" i="4"/>
  <c r="H67" i="4"/>
  <c r="I67" i="11"/>
  <c r="D68" i="4"/>
  <c r="I60" i="22"/>
  <c r="G53" i="39"/>
  <c r="D54" i="39"/>
  <c r="E54" i="39"/>
  <c r="H53" i="39"/>
  <c r="F53" i="42"/>
  <c r="D54" i="42" s="1"/>
  <c r="B53" i="42"/>
  <c r="H67" i="5"/>
  <c r="D68" i="5"/>
  <c r="E68" i="5" s="1"/>
  <c r="F68" i="5" s="1"/>
  <c r="I71" i="10"/>
  <c r="E52" i="43"/>
  <c r="F52" i="43" s="1"/>
  <c r="G52" i="43" s="1"/>
  <c r="B52" i="43"/>
  <c r="B72" i="10"/>
  <c r="F72" i="10"/>
  <c r="H72" i="10" s="1"/>
  <c r="H53" i="37"/>
  <c r="I53" i="37" s="1"/>
  <c r="D54" i="37"/>
  <c r="E54" i="37"/>
  <c r="E58" i="45"/>
  <c r="F58" i="45" s="1"/>
  <c r="H58" i="45" s="1"/>
  <c r="B58" i="45"/>
  <c r="H61" i="22"/>
  <c r="D62" i="22"/>
  <c r="E52" i="41"/>
  <c r="F52" i="41" s="1"/>
  <c r="B52" i="41"/>
  <c r="B61" i="27"/>
  <c r="G61" i="27"/>
  <c r="B61" i="22"/>
  <c r="G61" i="22"/>
  <c r="F54" i="38"/>
  <c r="H54" i="38" s="1"/>
  <c r="B54" i="38"/>
  <c r="B68" i="11"/>
  <c r="G68" i="11"/>
  <c r="G67" i="5"/>
  <c r="H61" i="27"/>
  <c r="D62" i="27"/>
  <c r="E62" i="27" s="1"/>
  <c r="F62" i="27" s="1"/>
  <c r="E52" i="40"/>
  <c r="F52" i="40" s="1"/>
  <c r="B52" i="40"/>
  <c r="H68" i="11"/>
  <c r="D69" i="11"/>
  <c r="E69" i="11" s="1"/>
  <c r="F69" i="11" s="1"/>
  <c r="I60" i="27"/>
  <c r="G55" i="30" l="1"/>
  <c r="I55" i="30" s="1"/>
  <c r="I65" i="8"/>
  <c r="E58" i="44"/>
  <c r="F58" i="44" s="1"/>
  <c r="G58" i="44" s="1"/>
  <c r="B58" i="44"/>
  <c r="G64" i="9"/>
  <c r="E56" i="30"/>
  <c r="D56" i="30"/>
  <c r="I64" i="6"/>
  <c r="H64" i="9"/>
  <c r="H66" i="8"/>
  <c r="E67" i="8"/>
  <c r="F67" i="8" s="1"/>
  <c r="D68" i="8" s="1"/>
  <c r="B67" i="8"/>
  <c r="E65" i="9"/>
  <c r="F65" i="9" s="1"/>
  <c r="D66" i="9" s="1"/>
  <c r="B65" i="9"/>
  <c r="G66" i="8"/>
  <c r="D61" i="24"/>
  <c r="E61" i="24" s="1"/>
  <c r="G60" i="24"/>
  <c r="I60" i="25"/>
  <c r="G62" i="3"/>
  <c r="D63" i="3"/>
  <c r="I58" i="28"/>
  <c r="H60" i="24"/>
  <c r="B62" i="3"/>
  <c r="H62" i="3"/>
  <c r="G57" i="31"/>
  <c r="D58" i="31"/>
  <c r="G52" i="46"/>
  <c r="E53" i="46"/>
  <c r="D53" i="46"/>
  <c r="H52" i="46"/>
  <c r="G65" i="6"/>
  <c r="D66" i="6"/>
  <c r="E66" i="6" s="1"/>
  <c r="F66" i="6" s="1"/>
  <c r="I67" i="4"/>
  <c r="B65" i="6"/>
  <c r="H65" i="6"/>
  <c r="E61" i="25"/>
  <c r="F61" i="25" s="1"/>
  <c r="H61" i="25" s="1"/>
  <c r="B61" i="25"/>
  <c r="H57" i="31"/>
  <c r="I70" i="7"/>
  <c r="H58" i="29"/>
  <c r="I58" i="29" s="1"/>
  <c r="D72" i="7"/>
  <c r="E59" i="28"/>
  <c r="F59" i="28" s="1"/>
  <c r="H59" i="28" s="1"/>
  <c r="I68" i="11"/>
  <c r="G71" i="7"/>
  <c r="B71" i="7"/>
  <c r="H71" i="7"/>
  <c r="D59" i="29"/>
  <c r="B59" i="28"/>
  <c r="B60" i="23"/>
  <c r="F60" i="23"/>
  <c r="H60" i="23" s="1"/>
  <c r="G72" i="10"/>
  <c r="G73" i="10" s="1"/>
  <c r="B68" i="4"/>
  <c r="I53" i="39"/>
  <c r="E68" i="4"/>
  <c r="F68" i="4" s="1"/>
  <c r="H52" i="41"/>
  <c r="D53" i="41"/>
  <c r="E53" i="41"/>
  <c r="G52" i="41"/>
  <c r="G52" i="40"/>
  <c r="D53" i="40"/>
  <c r="H52" i="40"/>
  <c r="B68" i="5"/>
  <c r="G68" i="5"/>
  <c r="B62" i="27"/>
  <c r="G62" i="27"/>
  <c r="I61" i="22"/>
  <c r="E54" i="42"/>
  <c r="F54" i="42" s="1"/>
  <c r="B54" i="42"/>
  <c r="H62" i="27"/>
  <c r="D63" i="27"/>
  <c r="E63" i="27" s="1"/>
  <c r="F63" i="27" s="1"/>
  <c r="B54" i="37"/>
  <c r="F54" i="37"/>
  <c r="H54" i="37" s="1"/>
  <c r="H69" i="11"/>
  <c r="D70" i="11"/>
  <c r="E70" i="11" s="1"/>
  <c r="F70" i="11" s="1"/>
  <c r="B69" i="11"/>
  <c r="G69" i="11"/>
  <c r="I61" i="27"/>
  <c r="H68" i="5"/>
  <c r="D69" i="5"/>
  <c r="E69" i="5" s="1"/>
  <c r="F69" i="5" s="1"/>
  <c r="H52" i="43"/>
  <c r="I52" i="43" s="1"/>
  <c r="D53" i="43"/>
  <c r="E53" i="43"/>
  <c r="E62" i="22"/>
  <c r="F62" i="22" s="1"/>
  <c r="B62" i="22"/>
  <c r="G54" i="38"/>
  <c r="I54" i="38" s="1"/>
  <c r="D55" i="38"/>
  <c r="E55" i="38"/>
  <c r="G58" i="45"/>
  <c r="I58" i="45" s="1"/>
  <c r="D59" i="45"/>
  <c r="H73" i="10"/>
  <c r="G53" i="42"/>
  <c r="B54" i="39"/>
  <c r="F54" i="39"/>
  <c r="H54" i="39" s="1"/>
  <c r="H53" i="42"/>
  <c r="H58" i="44" l="1"/>
  <c r="I58" i="44" s="1"/>
  <c r="D59" i="44"/>
  <c r="E59" i="44" s="1"/>
  <c r="F59" i="44" s="1"/>
  <c r="I64" i="9"/>
  <c r="F56" i="30"/>
  <c r="B56" i="30"/>
  <c r="H67" i="8"/>
  <c r="I67" i="8" s="1"/>
  <c r="I66" i="8"/>
  <c r="I71" i="7"/>
  <c r="G67" i="8"/>
  <c r="E66" i="9"/>
  <c r="F66" i="9" s="1"/>
  <c r="D67" i="9" s="1"/>
  <c r="B66" i="9"/>
  <c r="F61" i="24"/>
  <c r="G61" i="24" s="1"/>
  <c r="H65" i="9"/>
  <c r="E68" i="8"/>
  <c r="F68" i="8" s="1"/>
  <c r="D69" i="8" s="1"/>
  <c r="B68" i="8"/>
  <c r="I60" i="24"/>
  <c r="B61" i="24"/>
  <c r="G65" i="9"/>
  <c r="I57" i="31"/>
  <c r="I65" i="6"/>
  <c r="G61" i="25"/>
  <c r="I61" i="25" s="1"/>
  <c r="I62" i="3"/>
  <c r="E63" i="3"/>
  <c r="F63" i="3" s="1"/>
  <c r="H63" i="3" s="1"/>
  <c r="B63" i="3"/>
  <c r="I52" i="46"/>
  <c r="G66" i="6"/>
  <c r="D67" i="6"/>
  <c r="E67" i="6" s="1"/>
  <c r="F67" i="6" s="1"/>
  <c r="B53" i="46"/>
  <c r="F53" i="46"/>
  <c r="D60" i="28"/>
  <c r="B60" i="28" s="1"/>
  <c r="B66" i="6"/>
  <c r="H66" i="6"/>
  <c r="E58" i="31"/>
  <c r="F58" i="31" s="1"/>
  <c r="B58" i="31"/>
  <c r="D62" i="25"/>
  <c r="I72" i="10"/>
  <c r="I73" i="10" s="1"/>
  <c r="G59" i="28"/>
  <c r="I59" i="28" s="1"/>
  <c r="B59" i="29"/>
  <c r="B72" i="7"/>
  <c r="E59" i="29"/>
  <c r="F59" i="29" s="1"/>
  <c r="E72" i="7"/>
  <c r="E73" i="7" s="1"/>
  <c r="G60" i="23"/>
  <c r="I60" i="23" s="1"/>
  <c r="D61" i="23"/>
  <c r="E61" i="23" s="1"/>
  <c r="I52" i="41"/>
  <c r="I52" i="40"/>
  <c r="D69" i="4"/>
  <c r="E69" i="4" s="1"/>
  <c r="F69" i="4" s="1"/>
  <c r="I62" i="27"/>
  <c r="G68" i="4"/>
  <c r="I69" i="11"/>
  <c r="H68" i="4"/>
  <c r="H69" i="5"/>
  <c r="D70" i="5"/>
  <c r="B55" i="38"/>
  <c r="F55" i="38"/>
  <c r="H55" i="38" s="1"/>
  <c r="B69" i="5"/>
  <c r="G69" i="5"/>
  <c r="G54" i="37"/>
  <c r="I54" i="37" s="1"/>
  <c r="D55" i="37"/>
  <c r="E55" i="37"/>
  <c r="F53" i="41"/>
  <c r="G53" i="41" s="1"/>
  <c r="B53" i="41"/>
  <c r="B53" i="43"/>
  <c r="F53" i="43"/>
  <c r="G53" i="43" s="1"/>
  <c r="H63" i="27"/>
  <c r="D64" i="27"/>
  <c r="E64" i="27" s="1"/>
  <c r="F64" i="27" s="1"/>
  <c r="E53" i="40"/>
  <c r="F53" i="40" s="1"/>
  <c r="B53" i="40"/>
  <c r="H62" i="22"/>
  <c r="D63" i="22"/>
  <c r="E63" i="22" s="1"/>
  <c r="F63" i="22" s="1"/>
  <c r="G54" i="42"/>
  <c r="D55" i="42"/>
  <c r="E59" i="45"/>
  <c r="F59" i="45" s="1"/>
  <c r="B59" i="45"/>
  <c r="B63" i="27"/>
  <c r="G63" i="27"/>
  <c r="H70" i="11"/>
  <c r="D71" i="11"/>
  <c r="E71" i="11" s="1"/>
  <c r="F71" i="11" s="1"/>
  <c r="I53" i="42"/>
  <c r="G54" i="39"/>
  <c r="I54" i="39" s="1"/>
  <c r="D55" i="39"/>
  <c r="G62" i="22"/>
  <c r="B70" i="11"/>
  <c r="G70" i="11"/>
  <c r="H54" i="42"/>
  <c r="D60" i="44" l="1"/>
  <c r="E60" i="44" s="1"/>
  <c r="F60" i="44" s="1"/>
  <c r="B59" i="44"/>
  <c r="G59" i="44"/>
  <c r="H59" i="44"/>
  <c r="I59" i="44" s="1"/>
  <c r="G56" i="30"/>
  <c r="D57" i="30"/>
  <c r="H56" i="30"/>
  <c r="H66" i="9"/>
  <c r="H61" i="24"/>
  <c r="I61" i="24" s="1"/>
  <c r="I65" i="9"/>
  <c r="I66" i="6"/>
  <c r="G66" i="9"/>
  <c r="E69" i="8"/>
  <c r="F69" i="8" s="1"/>
  <c r="D70" i="8" s="1"/>
  <c r="B69" i="8"/>
  <c r="G68" i="8"/>
  <c r="E60" i="28"/>
  <c r="F60" i="28" s="1"/>
  <c r="H60" i="28" s="1"/>
  <c r="D62" i="24"/>
  <c r="B62" i="24" s="1"/>
  <c r="H68" i="8"/>
  <c r="E67" i="9"/>
  <c r="F67" i="9" s="1"/>
  <c r="D68" i="9" s="1"/>
  <c r="B67" i="9"/>
  <c r="D64" i="3"/>
  <c r="E64" i="3" s="1"/>
  <c r="F64" i="3" s="1"/>
  <c r="D65" i="3" s="1"/>
  <c r="G63" i="3"/>
  <c r="I63" i="3" s="1"/>
  <c r="H53" i="41"/>
  <c r="I53" i="41" s="1"/>
  <c r="G58" i="31"/>
  <c r="D59" i="31"/>
  <c r="H58" i="31"/>
  <c r="B62" i="25"/>
  <c r="G67" i="6"/>
  <c r="D68" i="6"/>
  <c r="E68" i="6" s="1"/>
  <c r="F68" i="6" s="1"/>
  <c r="B67" i="6"/>
  <c r="H67" i="6"/>
  <c r="G53" i="46"/>
  <c r="E54" i="46"/>
  <c r="D54" i="46"/>
  <c r="H53" i="46"/>
  <c r="E62" i="25"/>
  <c r="F62" i="25" s="1"/>
  <c r="D60" i="29"/>
  <c r="E60" i="29" s="1"/>
  <c r="F60" i="29" s="1"/>
  <c r="G59" i="29"/>
  <c r="H59" i="29"/>
  <c r="F72" i="7"/>
  <c r="B61" i="23"/>
  <c r="F61" i="23"/>
  <c r="H61" i="23" s="1"/>
  <c r="I54" i="42"/>
  <c r="I68" i="4"/>
  <c r="B69" i="4"/>
  <c r="H69" i="4"/>
  <c r="G69" i="4"/>
  <c r="D70" i="4"/>
  <c r="E70" i="4" s="1"/>
  <c r="F70" i="4" s="1"/>
  <c r="G53" i="40"/>
  <c r="D54" i="40"/>
  <c r="H53" i="40"/>
  <c r="H59" i="45"/>
  <c r="D60" i="45"/>
  <c r="G59" i="45"/>
  <c r="B70" i="5"/>
  <c r="B64" i="27"/>
  <c r="H64" i="27"/>
  <c r="B71" i="11"/>
  <c r="G71" i="11"/>
  <c r="I63" i="27"/>
  <c r="F55" i="37"/>
  <c r="B55" i="37"/>
  <c r="I70" i="11"/>
  <c r="H63" i="22"/>
  <c r="D64" i="22"/>
  <c r="E64" i="22" s="1"/>
  <c r="F64" i="22" s="1"/>
  <c r="H71" i="11"/>
  <c r="D72" i="11"/>
  <c r="E72" i="11" s="1"/>
  <c r="E73" i="11" s="1"/>
  <c r="B63" i="22"/>
  <c r="G63" i="22"/>
  <c r="G55" i="38"/>
  <c r="I55" i="38" s="1"/>
  <c r="D56" i="38"/>
  <c r="G64" i="27"/>
  <c r="D65" i="27"/>
  <c r="E65" i="27" s="1"/>
  <c r="F65" i="27" s="1"/>
  <c r="E55" i="42"/>
  <c r="F55" i="42" s="1"/>
  <c r="H55" i="42" s="1"/>
  <c r="B55" i="42"/>
  <c r="E55" i="39"/>
  <c r="F55" i="39" s="1"/>
  <c r="D56" i="39" s="1"/>
  <c r="B55" i="39"/>
  <c r="I62" i="22"/>
  <c r="H53" i="43"/>
  <c r="I53" i="43" s="1"/>
  <c r="D54" i="43"/>
  <c r="D54" i="41"/>
  <c r="E54" i="41"/>
  <c r="E70" i="5"/>
  <c r="F70" i="5" s="1"/>
  <c r="G70" i="5" s="1"/>
  <c r="I66" i="9" l="1"/>
  <c r="D61" i="44"/>
  <c r="B61" i="44" s="1"/>
  <c r="E61" i="44"/>
  <c r="F61" i="44" s="1"/>
  <c r="H61" i="44" s="1"/>
  <c r="B60" i="44"/>
  <c r="H60" i="44"/>
  <c r="G60" i="44"/>
  <c r="I56" i="30"/>
  <c r="E57" i="30"/>
  <c r="F57" i="30" s="1"/>
  <c r="G57" i="30" s="1"/>
  <c r="B57" i="30"/>
  <c r="E62" i="24"/>
  <c r="F62" i="24" s="1"/>
  <c r="G62" i="24" s="1"/>
  <c r="I68" i="8"/>
  <c r="I58" i="31"/>
  <c r="G69" i="8"/>
  <c r="G67" i="9"/>
  <c r="I59" i="29"/>
  <c r="D61" i="28"/>
  <c r="B61" i="28" s="1"/>
  <c r="G60" i="28"/>
  <c r="I60" i="28" s="1"/>
  <c r="H67" i="9"/>
  <c r="H69" i="8"/>
  <c r="E68" i="9"/>
  <c r="F68" i="9" s="1"/>
  <c r="D69" i="9" s="1"/>
  <c r="B68" i="9"/>
  <c r="E70" i="8"/>
  <c r="F70" i="8" s="1"/>
  <c r="H70" i="8" s="1"/>
  <c r="B70" i="8"/>
  <c r="I67" i="6"/>
  <c r="E65" i="3"/>
  <c r="F65" i="3" s="1"/>
  <c r="D66" i="3" s="1"/>
  <c r="B65" i="3"/>
  <c r="B64" i="3"/>
  <c r="H64" i="3"/>
  <c r="G64" i="3"/>
  <c r="G62" i="25"/>
  <c r="D63" i="25"/>
  <c r="D69" i="6"/>
  <c r="E69" i="6" s="1"/>
  <c r="F69" i="6" s="1"/>
  <c r="E59" i="31"/>
  <c r="F59" i="31" s="1"/>
  <c r="B59" i="31"/>
  <c r="I53" i="46"/>
  <c r="B68" i="6"/>
  <c r="H68" i="6"/>
  <c r="G68" i="6"/>
  <c r="B54" i="46"/>
  <c r="F54" i="46"/>
  <c r="H62" i="25"/>
  <c r="D62" i="44"/>
  <c r="E62" i="44" s="1"/>
  <c r="F62" i="44" s="1"/>
  <c r="G60" i="29"/>
  <c r="D61" i="29"/>
  <c r="E61" i="29" s="1"/>
  <c r="F61" i="29" s="1"/>
  <c r="H72" i="7"/>
  <c r="G72" i="7"/>
  <c r="G73" i="7" s="1"/>
  <c r="B60" i="29"/>
  <c r="H60" i="29"/>
  <c r="G61" i="23"/>
  <c r="I61" i="23" s="1"/>
  <c r="D62" i="23"/>
  <c r="I69" i="4"/>
  <c r="D71" i="4"/>
  <c r="E71" i="4" s="1"/>
  <c r="F71" i="4" s="1"/>
  <c r="I53" i="40"/>
  <c r="I64" i="27"/>
  <c r="B70" i="4"/>
  <c r="H70" i="4"/>
  <c r="G70" i="4"/>
  <c r="I59" i="45"/>
  <c r="H65" i="27"/>
  <c r="D66" i="27"/>
  <c r="E66" i="27" s="1"/>
  <c r="F66" i="27" s="1"/>
  <c r="E56" i="38"/>
  <c r="F56" i="38" s="1"/>
  <c r="H56" i="38" s="1"/>
  <c r="B56" i="38"/>
  <c r="E60" i="45"/>
  <c r="F60" i="45" s="1"/>
  <c r="B60" i="45"/>
  <c r="H70" i="5"/>
  <c r="D71" i="5"/>
  <c r="E71" i="5" s="1"/>
  <c r="F71" i="5" s="1"/>
  <c r="H64" i="22"/>
  <c r="D65" i="22"/>
  <c r="E65" i="22" s="1"/>
  <c r="F65" i="22" s="1"/>
  <c r="E56" i="39"/>
  <c r="F56" i="39" s="1"/>
  <c r="B56" i="39"/>
  <c r="H55" i="37"/>
  <c r="D56" i="37"/>
  <c r="E56" i="37" s="1"/>
  <c r="G55" i="42"/>
  <c r="I55" i="42" s="1"/>
  <c r="D56" i="42"/>
  <c r="H55" i="39"/>
  <c r="B72" i="11"/>
  <c r="F72" i="11"/>
  <c r="H72" i="11" s="1"/>
  <c r="B64" i="22"/>
  <c r="G64" i="22"/>
  <c r="E54" i="40"/>
  <c r="F54" i="40" s="1"/>
  <c r="G54" i="40" s="1"/>
  <c r="B54" i="40"/>
  <c r="B65" i="27"/>
  <c r="G65" i="27"/>
  <c r="B54" i="41"/>
  <c r="F54" i="41"/>
  <c r="G54" i="41" s="1"/>
  <c r="G55" i="39"/>
  <c r="E54" i="43"/>
  <c r="F54" i="43" s="1"/>
  <c r="G54" i="43" s="1"/>
  <c r="B54" i="43"/>
  <c r="I71" i="11"/>
  <c r="I63" i="22"/>
  <c r="G55" i="37"/>
  <c r="G61" i="44" l="1"/>
  <c r="I61" i="44" s="1"/>
  <c r="H62" i="24"/>
  <c r="I60" i="44"/>
  <c r="D63" i="24"/>
  <c r="H57" i="30"/>
  <c r="I57" i="30" s="1"/>
  <c r="D58" i="30"/>
  <c r="G70" i="8"/>
  <c r="I70" i="8" s="1"/>
  <c r="E61" i="28"/>
  <c r="F61" i="28" s="1"/>
  <c r="G61" i="28" s="1"/>
  <c r="I69" i="8"/>
  <c r="I67" i="9"/>
  <c r="G68" i="9"/>
  <c r="H68" i="9"/>
  <c r="E69" i="9"/>
  <c r="F69" i="9" s="1"/>
  <c r="H69" i="9" s="1"/>
  <c r="B69" i="9"/>
  <c r="D71" i="8"/>
  <c r="E71" i="8" s="1"/>
  <c r="F71" i="8" s="1"/>
  <c r="D72" i="8" s="1"/>
  <c r="B72" i="8" s="1"/>
  <c r="I62" i="25"/>
  <c r="G65" i="3"/>
  <c r="E66" i="3"/>
  <c r="F66" i="3" s="1"/>
  <c r="H66" i="3" s="1"/>
  <c r="B66" i="3"/>
  <c r="I62" i="24"/>
  <c r="I64" i="3"/>
  <c r="E63" i="24"/>
  <c r="F63" i="24" s="1"/>
  <c r="D64" i="24" s="1"/>
  <c r="B63" i="24"/>
  <c r="H65" i="3"/>
  <c r="G59" i="31"/>
  <c r="D60" i="31"/>
  <c r="E60" i="31" s="1"/>
  <c r="F60" i="31" s="1"/>
  <c r="I68" i="6"/>
  <c r="H69" i="6"/>
  <c r="D70" i="6"/>
  <c r="H59" i="31"/>
  <c r="B69" i="6"/>
  <c r="G69" i="6"/>
  <c r="B62" i="44"/>
  <c r="G62" i="44"/>
  <c r="I60" i="29"/>
  <c r="E63" i="25"/>
  <c r="F63" i="25" s="1"/>
  <c r="G63" i="25" s="1"/>
  <c r="B63" i="25"/>
  <c r="H54" i="46"/>
  <c r="D55" i="46"/>
  <c r="E55" i="46"/>
  <c r="H62" i="44"/>
  <c r="D63" i="44"/>
  <c r="E63" i="44" s="1"/>
  <c r="F63" i="44" s="1"/>
  <c r="G54" i="46"/>
  <c r="G72" i="11"/>
  <c r="G73" i="11" s="1"/>
  <c r="I72" i="7"/>
  <c r="I73" i="7" s="1"/>
  <c r="H73" i="7"/>
  <c r="G61" i="29"/>
  <c r="D62" i="29"/>
  <c r="B61" i="29"/>
  <c r="H61" i="29"/>
  <c r="E62" i="23"/>
  <c r="F62" i="23" s="1"/>
  <c r="D63" i="23" s="1"/>
  <c r="B62" i="23"/>
  <c r="I70" i="4"/>
  <c r="D72" i="4"/>
  <c r="E72" i="4" s="1"/>
  <c r="E73" i="4" s="1"/>
  <c r="I55" i="37"/>
  <c r="B71" i="4"/>
  <c r="H71" i="4"/>
  <c r="G71" i="4"/>
  <c r="D61" i="45"/>
  <c r="G60" i="45"/>
  <c r="H60" i="45"/>
  <c r="H71" i="5"/>
  <c r="D72" i="5"/>
  <c r="E72" i="5" s="1"/>
  <c r="E73" i="5" s="1"/>
  <c r="B71" i="5"/>
  <c r="G71" i="5"/>
  <c r="F56" i="37"/>
  <c r="H56" i="37" s="1"/>
  <c r="B56" i="37"/>
  <c r="G56" i="38"/>
  <c r="I56" i="38" s="1"/>
  <c r="D57" i="38"/>
  <c r="E57" i="38"/>
  <c r="I65" i="27"/>
  <c r="B65" i="22"/>
  <c r="G65" i="22"/>
  <c r="I64" i="22"/>
  <c r="I55" i="39"/>
  <c r="H56" i="39"/>
  <c r="D57" i="39"/>
  <c r="E56" i="42"/>
  <c r="F56" i="42" s="1"/>
  <c r="D57" i="42" s="1"/>
  <c r="B56" i="42"/>
  <c r="H54" i="43"/>
  <c r="I54" i="43" s="1"/>
  <c r="D55" i="43"/>
  <c r="H54" i="41"/>
  <c r="I54" i="41" s="1"/>
  <c r="D55" i="41"/>
  <c r="H54" i="40"/>
  <c r="I54" i="40" s="1"/>
  <c r="D55" i="40"/>
  <c r="H66" i="27"/>
  <c r="D67" i="27"/>
  <c r="E67" i="27" s="1"/>
  <c r="F67" i="27" s="1"/>
  <c r="H65" i="22"/>
  <c r="D66" i="22"/>
  <c r="E66" i="22" s="1"/>
  <c r="F66" i="22" s="1"/>
  <c r="H73" i="11"/>
  <c r="G56" i="39"/>
  <c r="B66" i="27"/>
  <c r="G66" i="27"/>
  <c r="H61" i="28" l="1"/>
  <c r="I61" i="28" s="1"/>
  <c r="D62" i="28"/>
  <c r="E58" i="30"/>
  <c r="F58" i="30" s="1"/>
  <c r="B58" i="30"/>
  <c r="G66" i="3"/>
  <c r="G69" i="9"/>
  <c r="I69" i="9" s="1"/>
  <c r="I68" i="9"/>
  <c r="B71" i="8"/>
  <c r="G71" i="8"/>
  <c r="H71" i="8"/>
  <c r="E72" i="8"/>
  <c r="E73" i="8" s="1"/>
  <c r="D70" i="9"/>
  <c r="E70" i="9" s="1"/>
  <c r="F70" i="9" s="1"/>
  <c r="I72" i="11"/>
  <c r="I73" i="11" s="1"/>
  <c r="H62" i="23"/>
  <c r="G63" i="24"/>
  <c r="E64" i="24"/>
  <c r="F64" i="24" s="1"/>
  <c r="D65" i="24" s="1"/>
  <c r="B64" i="24"/>
  <c r="I60" i="45"/>
  <c r="I59" i="31"/>
  <c r="I65" i="3"/>
  <c r="I66" i="3"/>
  <c r="H63" i="24"/>
  <c r="D67" i="3"/>
  <c r="E67" i="3" s="1"/>
  <c r="F67" i="3" s="1"/>
  <c r="D68" i="3" s="1"/>
  <c r="I54" i="46"/>
  <c r="D64" i="44"/>
  <c r="E64" i="44" s="1"/>
  <c r="F64" i="44" s="1"/>
  <c r="G62" i="23"/>
  <c r="E70" i="6"/>
  <c r="F70" i="6" s="1"/>
  <c r="D71" i="6" s="1"/>
  <c r="B70" i="6"/>
  <c r="I62" i="44"/>
  <c r="D64" i="25"/>
  <c r="E64" i="25" s="1"/>
  <c r="F64" i="25" s="1"/>
  <c r="F55" i="46"/>
  <c r="H55" i="46" s="1"/>
  <c r="B55" i="46"/>
  <c r="D61" i="31"/>
  <c r="E61" i="31" s="1"/>
  <c r="F61" i="31" s="1"/>
  <c r="I69" i="6"/>
  <c r="B60" i="31"/>
  <c r="H60" i="31"/>
  <c r="G60" i="31"/>
  <c r="G63" i="44"/>
  <c r="H63" i="44"/>
  <c r="B63" i="44"/>
  <c r="H63" i="25"/>
  <c r="I63" i="25" s="1"/>
  <c r="I61" i="29"/>
  <c r="E62" i="29"/>
  <c r="F62" i="29" s="1"/>
  <c r="B62" i="29"/>
  <c r="I56" i="39"/>
  <c r="E63" i="23"/>
  <c r="F63" i="23" s="1"/>
  <c r="G63" i="23" s="1"/>
  <c r="B63" i="23"/>
  <c r="G56" i="42"/>
  <c r="B72" i="4"/>
  <c r="F72" i="4"/>
  <c r="H72" i="4" s="1"/>
  <c r="H73" i="4" s="1"/>
  <c r="I71" i="4"/>
  <c r="I65" i="22"/>
  <c r="H56" i="42"/>
  <c r="E55" i="40"/>
  <c r="F55" i="40" s="1"/>
  <c r="G55" i="40" s="1"/>
  <c r="B55" i="40"/>
  <c r="E55" i="43"/>
  <c r="F55" i="43" s="1"/>
  <c r="H55" i="43" s="1"/>
  <c r="B55" i="43"/>
  <c r="E57" i="42"/>
  <c r="F57" i="42" s="1"/>
  <c r="B57" i="42"/>
  <c r="E57" i="39"/>
  <c r="F57" i="39" s="1"/>
  <c r="H57" i="39" s="1"/>
  <c r="B57" i="39"/>
  <c r="H66" i="22"/>
  <c r="D67" i="22"/>
  <c r="E67" i="22" s="1"/>
  <c r="F67" i="22" s="1"/>
  <c r="B66" i="22"/>
  <c r="G66" i="22"/>
  <c r="H67" i="27"/>
  <c r="D68" i="27"/>
  <c r="E68" i="27" s="1"/>
  <c r="F68" i="27" s="1"/>
  <c r="G56" i="37"/>
  <c r="I56" i="37" s="1"/>
  <c r="D57" i="37"/>
  <c r="B72" i="5"/>
  <c r="F72" i="5"/>
  <c r="G72" i="5" s="1"/>
  <c r="G73" i="5" s="1"/>
  <c r="B67" i="27"/>
  <c r="G67" i="27"/>
  <c r="E61" i="45"/>
  <c r="F61" i="45" s="1"/>
  <c r="B61" i="45"/>
  <c r="B57" i="38"/>
  <c r="F57" i="38"/>
  <c r="H57" i="38" s="1"/>
  <c r="E55" i="41"/>
  <c r="F55" i="41" s="1"/>
  <c r="B55" i="41"/>
  <c r="I66" i="27"/>
  <c r="H58" i="30" l="1"/>
  <c r="D59" i="30"/>
  <c r="G58" i="30"/>
  <c r="B62" i="28"/>
  <c r="E62" i="28"/>
  <c r="F62" i="28" s="1"/>
  <c r="I71" i="8"/>
  <c r="I62" i="23"/>
  <c r="B70" i="9"/>
  <c r="H70" i="9"/>
  <c r="G70" i="9"/>
  <c r="D71" i="9"/>
  <c r="F72" i="8"/>
  <c r="G72" i="8" s="1"/>
  <c r="G73" i="8" s="1"/>
  <c r="G70" i="6"/>
  <c r="I63" i="24"/>
  <c r="I63" i="44"/>
  <c r="H64" i="24"/>
  <c r="H63" i="23"/>
  <c r="I63" i="23" s="1"/>
  <c r="E68" i="3"/>
  <c r="F68" i="3" s="1"/>
  <c r="D69" i="3" s="1"/>
  <c r="B68" i="3"/>
  <c r="G64" i="24"/>
  <c r="H70" i="6"/>
  <c r="B67" i="3"/>
  <c r="G67" i="3"/>
  <c r="H67" i="3"/>
  <c r="E65" i="24"/>
  <c r="F65" i="24" s="1"/>
  <c r="H65" i="24" s="1"/>
  <c r="B65" i="24"/>
  <c r="G64" i="25"/>
  <c r="D65" i="25"/>
  <c r="H64" i="44"/>
  <c r="D65" i="44"/>
  <c r="B61" i="31"/>
  <c r="H61" i="31"/>
  <c r="G61" i="31"/>
  <c r="I56" i="42"/>
  <c r="E71" i="6"/>
  <c r="F71" i="6" s="1"/>
  <c r="D72" i="6" s="1"/>
  <c r="B71" i="6"/>
  <c r="G55" i="46"/>
  <c r="I55" i="46" s="1"/>
  <c r="D56" i="46"/>
  <c r="D62" i="31"/>
  <c r="E62" i="31" s="1"/>
  <c r="F62" i="31" s="1"/>
  <c r="I60" i="31"/>
  <c r="B64" i="25"/>
  <c r="H64" i="25"/>
  <c r="B64" i="44"/>
  <c r="G64" i="44"/>
  <c r="H72" i="5"/>
  <c r="H73" i="5" s="1"/>
  <c r="G62" i="29"/>
  <c r="D63" i="29"/>
  <c r="H62" i="29"/>
  <c r="G72" i="4"/>
  <c r="G73" i="4" s="1"/>
  <c r="D64" i="23"/>
  <c r="E64" i="23" s="1"/>
  <c r="F64" i="23" s="1"/>
  <c r="H67" i="22"/>
  <c r="D68" i="22"/>
  <c r="E68" i="22" s="1"/>
  <c r="F68" i="22" s="1"/>
  <c r="G57" i="42"/>
  <c r="D58" i="42"/>
  <c r="E58" i="42" s="1"/>
  <c r="H57" i="42"/>
  <c r="H55" i="41"/>
  <c r="D56" i="41"/>
  <c r="E56" i="41" s="1"/>
  <c r="G57" i="39"/>
  <c r="I57" i="39" s="1"/>
  <c r="D58" i="39"/>
  <c r="B68" i="27"/>
  <c r="G68" i="27"/>
  <c r="I67" i="27"/>
  <c r="G55" i="43"/>
  <c r="I55" i="43" s="1"/>
  <c r="D56" i="43"/>
  <c r="H55" i="40"/>
  <c r="I55" i="40" s="1"/>
  <c r="D56" i="40"/>
  <c r="H61" i="45"/>
  <c r="D62" i="45"/>
  <c r="E62" i="45" s="1"/>
  <c r="F62" i="45" s="1"/>
  <c r="D63" i="45" s="1"/>
  <c r="G57" i="38"/>
  <c r="I57" i="38" s="1"/>
  <c r="D58" i="38"/>
  <c r="H68" i="27"/>
  <c r="D69" i="27"/>
  <c r="E69" i="27" s="1"/>
  <c r="F69" i="27" s="1"/>
  <c r="E57" i="37"/>
  <c r="F57" i="37" s="1"/>
  <c r="B57" i="37"/>
  <c r="B67" i="22"/>
  <c r="G67" i="22"/>
  <c r="G55" i="41"/>
  <c r="G61" i="45"/>
  <c r="I66" i="22"/>
  <c r="G62" i="28" l="1"/>
  <c r="D63" i="28"/>
  <c r="H62" i="28"/>
  <c r="I58" i="30"/>
  <c r="E59" i="30"/>
  <c r="F59" i="30"/>
  <c r="G59" i="30" s="1"/>
  <c r="B59" i="30"/>
  <c r="G65" i="24"/>
  <c r="I65" i="24" s="1"/>
  <c r="H68" i="3"/>
  <c r="H72" i="8"/>
  <c r="I72" i="8" s="1"/>
  <c r="I73" i="8" s="1"/>
  <c r="I64" i="25"/>
  <c r="G68" i="3"/>
  <c r="I70" i="6"/>
  <c r="I67" i="3"/>
  <c r="E71" i="9"/>
  <c r="F71" i="9" s="1"/>
  <c r="D72" i="9" s="1"/>
  <c r="B71" i="9"/>
  <c r="I70" i="9"/>
  <c r="H71" i="6"/>
  <c r="I72" i="4"/>
  <c r="I73" i="4" s="1"/>
  <c r="D66" i="24"/>
  <c r="E66" i="24" s="1"/>
  <c r="F66" i="24" s="1"/>
  <c r="D67" i="24" s="1"/>
  <c r="E69" i="3"/>
  <c r="F69" i="3" s="1"/>
  <c r="D70" i="3" s="1"/>
  <c r="B69" i="3"/>
  <c r="I64" i="24"/>
  <c r="G71" i="6"/>
  <c r="I62" i="29"/>
  <c r="G62" i="31"/>
  <c r="D63" i="31"/>
  <c r="E63" i="31" s="1"/>
  <c r="F63" i="31" s="1"/>
  <c r="D64" i="31" s="1"/>
  <c r="B64" i="31" s="1"/>
  <c r="I61" i="31"/>
  <c r="E72" i="6"/>
  <c r="E73" i="6" s="1"/>
  <c r="B72" i="6"/>
  <c r="B65" i="44"/>
  <c r="E65" i="44"/>
  <c r="F65" i="44" s="1"/>
  <c r="D66" i="44" s="1"/>
  <c r="B62" i="31"/>
  <c r="H62" i="31"/>
  <c r="E56" i="46"/>
  <c r="F56" i="46" s="1"/>
  <c r="B56" i="46"/>
  <c r="E65" i="25"/>
  <c r="F65" i="25" s="1"/>
  <c r="D66" i="25" s="1"/>
  <c r="B65" i="25"/>
  <c r="I64" i="44"/>
  <c r="E63" i="29"/>
  <c r="F63" i="29" s="1"/>
  <c r="D64" i="29" s="1"/>
  <c r="B63" i="29"/>
  <c r="D65" i="23"/>
  <c r="E65" i="23" s="1"/>
  <c r="F65" i="23" s="1"/>
  <c r="D66" i="23" s="1"/>
  <c r="H64" i="23"/>
  <c r="G64" i="23"/>
  <c r="B64" i="23"/>
  <c r="I57" i="42"/>
  <c r="I55" i="41"/>
  <c r="D58" i="37"/>
  <c r="E58" i="37" s="1"/>
  <c r="G57" i="37"/>
  <c r="H68" i="22"/>
  <c r="D69" i="22"/>
  <c r="E69" i="22" s="1"/>
  <c r="F69" i="22" s="1"/>
  <c r="E56" i="40"/>
  <c r="F56" i="40" s="1"/>
  <c r="B56" i="40"/>
  <c r="B56" i="41"/>
  <c r="F56" i="41"/>
  <c r="H56" i="41" s="1"/>
  <c r="E58" i="38"/>
  <c r="F58" i="38" s="1"/>
  <c r="G58" i="38" s="1"/>
  <c r="B58" i="38"/>
  <c r="B58" i="42"/>
  <c r="F58" i="42"/>
  <c r="G58" i="42" s="1"/>
  <c r="I61" i="45"/>
  <c r="E56" i="43"/>
  <c r="F56" i="43" s="1"/>
  <c r="B56" i="43"/>
  <c r="B69" i="27"/>
  <c r="G69" i="27"/>
  <c r="H73" i="8"/>
  <c r="I68" i="27"/>
  <c r="E63" i="45"/>
  <c r="F63" i="45" s="1"/>
  <c r="B63" i="45"/>
  <c r="E58" i="39"/>
  <c r="F58" i="39" s="1"/>
  <c r="H58" i="39" s="1"/>
  <c r="B58" i="39"/>
  <c r="B68" i="22"/>
  <c r="G68" i="22"/>
  <c r="H69" i="27"/>
  <c r="D70" i="27"/>
  <c r="E70" i="27" s="1"/>
  <c r="F70" i="27" s="1"/>
  <c r="H57" i="37"/>
  <c r="B62" i="45"/>
  <c r="G62" i="45"/>
  <c r="H62" i="45"/>
  <c r="I67" i="22"/>
  <c r="H59" i="30" l="1"/>
  <c r="I59" i="30" s="1"/>
  <c r="D60" i="30"/>
  <c r="I68" i="3"/>
  <c r="I62" i="28"/>
  <c r="E63" i="28"/>
  <c r="F63" i="28" s="1"/>
  <c r="D64" i="28" s="1"/>
  <c r="H63" i="28"/>
  <c r="B63" i="28"/>
  <c r="I62" i="31"/>
  <c r="I71" i="6"/>
  <c r="H69" i="3"/>
  <c r="G69" i="3"/>
  <c r="H71" i="9"/>
  <c r="I62" i="45"/>
  <c r="G63" i="29"/>
  <c r="G71" i="9"/>
  <c r="E72" i="9"/>
  <c r="E73" i="9" s="1"/>
  <c r="B72" i="9"/>
  <c r="F58" i="37"/>
  <c r="D59" i="37" s="1"/>
  <c r="B59" i="37" s="1"/>
  <c r="B58" i="37"/>
  <c r="G65" i="25"/>
  <c r="H65" i="25"/>
  <c r="I65" i="25" s="1"/>
  <c r="E70" i="3"/>
  <c r="F70" i="3" s="1"/>
  <c r="G70" i="3" s="1"/>
  <c r="B70" i="3"/>
  <c r="E67" i="24"/>
  <c r="F67" i="24" s="1"/>
  <c r="D68" i="24" s="1"/>
  <c r="B67" i="24"/>
  <c r="H63" i="29"/>
  <c r="F72" i="6"/>
  <c r="B66" i="24"/>
  <c r="G66" i="24"/>
  <c r="H66" i="24"/>
  <c r="I57" i="37"/>
  <c r="E64" i="31"/>
  <c r="F64" i="31" s="1"/>
  <c r="D65" i="31" s="1"/>
  <c r="B65" i="31" s="1"/>
  <c r="D57" i="46"/>
  <c r="E57" i="46" s="1"/>
  <c r="G56" i="46"/>
  <c r="H56" i="46"/>
  <c r="E66" i="44"/>
  <c r="F66" i="44" s="1"/>
  <c r="D67" i="44" s="1"/>
  <c r="B66" i="44"/>
  <c r="E66" i="25"/>
  <c r="F66" i="25" s="1"/>
  <c r="D67" i="25" s="1"/>
  <c r="B66" i="25"/>
  <c r="G65" i="44"/>
  <c r="H65" i="44"/>
  <c r="B63" i="31"/>
  <c r="G63" i="31"/>
  <c r="H63" i="31"/>
  <c r="E64" i="29"/>
  <c r="F64" i="29" s="1"/>
  <c r="B64" i="29"/>
  <c r="E66" i="23"/>
  <c r="F66" i="23" s="1"/>
  <c r="G66" i="23" s="1"/>
  <c r="B66" i="23"/>
  <c r="I64" i="23"/>
  <c r="G65" i="23"/>
  <c r="H65" i="23"/>
  <c r="B65" i="23"/>
  <c r="D57" i="43"/>
  <c r="H56" i="43"/>
  <c r="G56" i="43"/>
  <c r="H56" i="40"/>
  <c r="D57" i="40"/>
  <c r="E57" i="40" s="1"/>
  <c r="G56" i="40"/>
  <c r="B69" i="22"/>
  <c r="G69" i="22"/>
  <c r="H63" i="45"/>
  <c r="D64" i="45"/>
  <c r="H69" i="22"/>
  <c r="D70" i="22"/>
  <c r="E70" i="22" s="1"/>
  <c r="F70" i="22" s="1"/>
  <c r="G58" i="39"/>
  <c r="I58" i="39" s="1"/>
  <c r="D59" i="39"/>
  <c r="I68" i="22"/>
  <c r="G70" i="27"/>
  <c r="D71" i="27"/>
  <c r="G56" i="41"/>
  <c r="I56" i="41" s="1"/>
  <c r="D57" i="41"/>
  <c r="B70" i="27"/>
  <c r="H70" i="27"/>
  <c r="H58" i="38"/>
  <c r="I58" i="38" s="1"/>
  <c r="D59" i="38"/>
  <c r="E59" i="38" s="1"/>
  <c r="H58" i="42"/>
  <c r="I58" i="42" s="1"/>
  <c r="D59" i="42"/>
  <c r="I69" i="27"/>
  <c r="G63" i="45"/>
  <c r="I69" i="3" l="1"/>
  <c r="E64" i="28"/>
  <c r="F64" i="28" s="1"/>
  <c r="G64" i="28" s="1"/>
  <c r="B64" i="28"/>
  <c r="E60" i="30"/>
  <c r="F60" i="30"/>
  <c r="B60" i="30"/>
  <c r="G63" i="28"/>
  <c r="I63" i="28" s="1"/>
  <c r="I71" i="9"/>
  <c r="I63" i="29"/>
  <c r="I66" i="24"/>
  <c r="E65" i="31"/>
  <c r="F65" i="31" s="1"/>
  <c r="D66" i="31" s="1"/>
  <c r="B66" i="31" s="1"/>
  <c r="F72" i="9"/>
  <c r="G72" i="9" s="1"/>
  <c r="G73" i="9" s="1"/>
  <c r="H70" i="3"/>
  <c r="I70" i="3" s="1"/>
  <c r="G66" i="25"/>
  <c r="G58" i="37"/>
  <c r="H58" i="37"/>
  <c r="E59" i="37"/>
  <c r="F59" i="37" s="1"/>
  <c r="G59" i="37" s="1"/>
  <c r="G64" i="31"/>
  <c r="H64" i="31"/>
  <c r="G67" i="24"/>
  <c r="E68" i="24"/>
  <c r="F68" i="24" s="1"/>
  <c r="D69" i="24" s="1"/>
  <c r="B68" i="24"/>
  <c r="H66" i="25"/>
  <c r="H72" i="6"/>
  <c r="G72" i="6"/>
  <c r="G73" i="6" s="1"/>
  <c r="D71" i="3"/>
  <c r="E71" i="3" s="1"/>
  <c r="F71" i="3" s="1"/>
  <c r="D72" i="3" s="1"/>
  <c r="H67" i="24"/>
  <c r="H66" i="44"/>
  <c r="I65" i="23"/>
  <c r="E67" i="44"/>
  <c r="F67" i="44" s="1"/>
  <c r="D68" i="44" s="1"/>
  <c r="B67" i="44"/>
  <c r="I63" i="31"/>
  <c r="I56" i="46"/>
  <c r="H66" i="23"/>
  <c r="I66" i="23" s="1"/>
  <c r="E67" i="25"/>
  <c r="F67" i="25" s="1"/>
  <c r="D68" i="25" s="1"/>
  <c r="B67" i="25"/>
  <c r="I65" i="44"/>
  <c r="G66" i="44"/>
  <c r="B57" i="46"/>
  <c r="F57" i="46"/>
  <c r="H57" i="46" s="1"/>
  <c r="I56" i="40"/>
  <c r="I63" i="45"/>
  <c r="D65" i="29"/>
  <c r="E65" i="29" s="1"/>
  <c r="F65" i="29" s="1"/>
  <c r="D66" i="29" s="1"/>
  <c r="G64" i="29"/>
  <c r="I69" i="22"/>
  <c r="H64" i="29"/>
  <c r="D67" i="23"/>
  <c r="E67" i="23" s="1"/>
  <c r="F67" i="23" s="1"/>
  <c r="I56" i="43"/>
  <c r="B71" i="27"/>
  <c r="E71" i="27"/>
  <c r="F71" i="27" s="1"/>
  <c r="E64" i="45"/>
  <c r="F64" i="45" s="1"/>
  <c r="G64" i="45" s="1"/>
  <c r="B64" i="45"/>
  <c r="E59" i="42"/>
  <c r="F59" i="42" s="1"/>
  <c r="B59" i="42"/>
  <c r="B59" i="38"/>
  <c r="F59" i="38"/>
  <c r="G59" i="38" s="1"/>
  <c r="H70" i="22"/>
  <c r="D71" i="22"/>
  <c r="E71" i="22" s="1"/>
  <c r="F71" i="22" s="1"/>
  <c r="E59" i="39"/>
  <c r="F59" i="39" s="1"/>
  <c r="B59" i="39"/>
  <c r="B70" i="22"/>
  <c r="G70" i="22"/>
  <c r="E57" i="41"/>
  <c r="F57" i="41" s="1"/>
  <c r="D58" i="41" s="1"/>
  <c r="B57" i="41"/>
  <c r="I70" i="27"/>
  <c r="E57" i="43"/>
  <c r="F57" i="43" s="1"/>
  <c r="H57" i="43" s="1"/>
  <c r="B57" i="43"/>
  <c r="B57" i="40"/>
  <c r="F57" i="40"/>
  <c r="H65" i="31" l="1"/>
  <c r="H64" i="28"/>
  <c r="I64" i="28" s="1"/>
  <c r="G60" i="30"/>
  <c r="D61" i="30"/>
  <c r="G65" i="31"/>
  <c r="I65" i="31" s="1"/>
  <c r="H60" i="30"/>
  <c r="D65" i="28"/>
  <c r="E65" i="28" s="1"/>
  <c r="F65" i="28" s="1"/>
  <c r="D66" i="28" s="1"/>
  <c r="E66" i="28" s="1"/>
  <c r="F66" i="28" s="1"/>
  <c r="D67" i="28" s="1"/>
  <c r="E67" i="28" s="1"/>
  <c r="F67" i="28" s="1"/>
  <c r="E66" i="31"/>
  <c r="F66" i="31" s="1"/>
  <c r="D67" i="31" s="1"/>
  <c r="I66" i="25"/>
  <c r="I64" i="31"/>
  <c r="H72" i="9"/>
  <c r="I58" i="37"/>
  <c r="H68" i="24"/>
  <c r="D60" i="37"/>
  <c r="E60" i="37" s="1"/>
  <c r="F60" i="37" s="1"/>
  <c r="H60" i="37" s="1"/>
  <c r="H59" i="37"/>
  <c r="I59" i="37" s="1"/>
  <c r="I67" i="24"/>
  <c r="G68" i="24"/>
  <c r="E72" i="3"/>
  <c r="E73" i="3" s="1"/>
  <c r="B72" i="3"/>
  <c r="E69" i="24"/>
  <c r="F69" i="24" s="1"/>
  <c r="G69" i="24" s="1"/>
  <c r="B69" i="24"/>
  <c r="B71" i="3"/>
  <c r="H71" i="3"/>
  <c r="G71" i="3"/>
  <c r="H73" i="6"/>
  <c r="I72" i="6"/>
  <c r="I73" i="6" s="1"/>
  <c r="H67" i="25"/>
  <c r="G67" i="44"/>
  <c r="G67" i="25"/>
  <c r="H67" i="44"/>
  <c r="G57" i="46"/>
  <c r="I57" i="46" s="1"/>
  <c r="D58" i="46"/>
  <c r="E68" i="25"/>
  <c r="F68" i="25" s="1"/>
  <c r="D69" i="25" s="1"/>
  <c r="B68" i="25"/>
  <c r="E68" i="44"/>
  <c r="F68" i="44" s="1"/>
  <c r="D69" i="44" s="1"/>
  <c r="B68" i="44"/>
  <c r="I66" i="44"/>
  <c r="E66" i="29"/>
  <c r="F66" i="29" s="1"/>
  <c r="G66" i="29" s="1"/>
  <c r="B66" i="29"/>
  <c r="I64" i="29"/>
  <c r="H66" i="31"/>
  <c r="G66" i="31"/>
  <c r="E67" i="31"/>
  <c r="F67" i="31" s="1"/>
  <c r="D68" i="31" s="1"/>
  <c r="B67" i="31"/>
  <c r="B65" i="29"/>
  <c r="H65" i="29"/>
  <c r="G65" i="29"/>
  <c r="D68" i="23"/>
  <c r="E68" i="23" s="1"/>
  <c r="F68" i="23" s="1"/>
  <c r="B67" i="23"/>
  <c r="G67" i="23"/>
  <c r="H67" i="23"/>
  <c r="G57" i="41"/>
  <c r="H59" i="42"/>
  <c r="D60" i="42"/>
  <c r="G59" i="42"/>
  <c r="H59" i="39"/>
  <c r="D60" i="39"/>
  <c r="G59" i="39"/>
  <c r="H71" i="27"/>
  <c r="D72" i="27"/>
  <c r="E72" i="27" s="1"/>
  <c r="E73" i="27" s="1"/>
  <c r="H57" i="41"/>
  <c r="H59" i="38"/>
  <c r="I59" i="38" s="1"/>
  <c r="D60" i="38"/>
  <c r="E58" i="41"/>
  <c r="F58" i="41" s="1"/>
  <c r="B58" i="41"/>
  <c r="G57" i="40"/>
  <c r="D58" i="40"/>
  <c r="E58" i="40" s="1"/>
  <c r="H71" i="22"/>
  <c r="D72" i="22"/>
  <c r="E72" i="22" s="1"/>
  <c r="E73" i="22" s="1"/>
  <c r="G71" i="27"/>
  <c r="G57" i="43"/>
  <c r="I57" i="43" s="1"/>
  <c r="D58" i="43"/>
  <c r="H57" i="40"/>
  <c r="B71" i="22"/>
  <c r="G71" i="22"/>
  <c r="H64" i="45"/>
  <c r="I64" i="45" s="1"/>
  <c r="D65" i="45"/>
  <c r="E65" i="45" s="1"/>
  <c r="F65" i="45" s="1"/>
  <c r="I70" i="22"/>
  <c r="I60" i="30" l="1"/>
  <c r="B66" i="28"/>
  <c r="G66" i="28"/>
  <c r="E61" i="30"/>
  <c r="F61" i="30" s="1"/>
  <c r="D62" i="30" s="1"/>
  <c r="B61" i="30"/>
  <c r="H61" i="30"/>
  <c r="B65" i="28"/>
  <c r="G65" i="28"/>
  <c r="H65" i="28"/>
  <c r="H66" i="28"/>
  <c r="B60" i="37"/>
  <c r="I68" i="24"/>
  <c r="H69" i="24"/>
  <c r="I69" i="24" s="1"/>
  <c r="H73" i="9"/>
  <c r="I72" i="9"/>
  <c r="I73" i="9" s="1"/>
  <c r="F72" i="3"/>
  <c r="H72" i="3" s="1"/>
  <c r="H73" i="3" s="1"/>
  <c r="I67" i="44"/>
  <c r="I67" i="25"/>
  <c r="I65" i="29"/>
  <c r="H68" i="44"/>
  <c r="I71" i="3"/>
  <c r="D70" i="24"/>
  <c r="E70" i="24" s="1"/>
  <c r="F70" i="24" s="1"/>
  <c r="D71" i="24" s="1"/>
  <c r="G68" i="44"/>
  <c r="I57" i="41"/>
  <c r="H66" i="29"/>
  <c r="I66" i="29" s="1"/>
  <c r="H68" i="25"/>
  <c r="G68" i="25"/>
  <c r="E69" i="25"/>
  <c r="F69" i="25" s="1"/>
  <c r="D70" i="25" s="1"/>
  <c r="B69" i="25"/>
  <c r="E58" i="46"/>
  <c r="F58" i="46" s="1"/>
  <c r="B58" i="46"/>
  <c r="G67" i="31"/>
  <c r="H67" i="31"/>
  <c r="E69" i="44"/>
  <c r="F69" i="44" s="1"/>
  <c r="D70" i="44" s="1"/>
  <c r="B69" i="44"/>
  <c r="I66" i="31"/>
  <c r="I67" i="23"/>
  <c r="E68" i="31"/>
  <c r="F68" i="31" s="1"/>
  <c r="D69" i="31" s="1"/>
  <c r="B68" i="31"/>
  <c r="D67" i="29"/>
  <c r="G68" i="23"/>
  <c r="D69" i="23"/>
  <c r="E69" i="23" s="1"/>
  <c r="F69" i="23" s="1"/>
  <c r="B68" i="23"/>
  <c r="H68" i="23"/>
  <c r="I59" i="42"/>
  <c r="D66" i="45"/>
  <c r="E66" i="45" s="1"/>
  <c r="F66" i="45" s="1"/>
  <c r="D67" i="45" s="1"/>
  <c r="H67" i="28"/>
  <c r="D68" i="28"/>
  <c r="E68" i="28" s="1"/>
  <c r="F68" i="28" s="1"/>
  <c r="G58" i="41"/>
  <c r="D59" i="41"/>
  <c r="H58" i="41"/>
  <c r="E60" i="38"/>
  <c r="F60" i="38" s="1"/>
  <c r="H60" i="38" s="1"/>
  <c r="B60" i="38"/>
  <c r="E60" i="39"/>
  <c r="F60" i="39" s="1"/>
  <c r="B60" i="39"/>
  <c r="B72" i="22"/>
  <c r="F72" i="22"/>
  <c r="H72" i="22" s="1"/>
  <c r="F58" i="40"/>
  <c r="G58" i="40" s="1"/>
  <c r="B58" i="40"/>
  <c r="I71" i="22"/>
  <c r="E60" i="42"/>
  <c r="F60" i="42" s="1"/>
  <c r="H60" i="42" s="1"/>
  <c r="B60" i="42"/>
  <c r="B65" i="45"/>
  <c r="H65" i="45"/>
  <c r="G65" i="45"/>
  <c r="B67" i="28"/>
  <c r="G67" i="28"/>
  <c r="B72" i="27"/>
  <c r="F72" i="27"/>
  <c r="H72" i="27" s="1"/>
  <c r="I71" i="27"/>
  <c r="E58" i="43"/>
  <c r="F58" i="43" s="1"/>
  <c r="B58" i="43"/>
  <c r="G60" i="37"/>
  <c r="I60" i="37" s="1"/>
  <c r="D61" i="37"/>
  <c r="I57" i="40"/>
  <c r="I66" i="28"/>
  <c r="I59" i="39"/>
  <c r="I65" i="28" l="1"/>
  <c r="G61" i="30"/>
  <c r="I61" i="30" s="1"/>
  <c r="E62" i="30"/>
  <c r="F62" i="30" s="1"/>
  <c r="D63" i="30" s="1"/>
  <c r="B62" i="30"/>
  <c r="G62" i="30"/>
  <c r="I67" i="31"/>
  <c r="I68" i="44"/>
  <c r="G72" i="3"/>
  <c r="G73" i="3" s="1"/>
  <c r="H69" i="25"/>
  <c r="I68" i="23"/>
  <c r="H68" i="31"/>
  <c r="E71" i="24"/>
  <c r="F71" i="24" s="1"/>
  <c r="D72" i="24" s="1"/>
  <c r="B71" i="24"/>
  <c r="H70" i="24"/>
  <c r="G70" i="24"/>
  <c r="B70" i="24"/>
  <c r="G68" i="31"/>
  <c r="G69" i="25"/>
  <c r="H69" i="44"/>
  <c r="H58" i="46"/>
  <c r="D59" i="46"/>
  <c r="G58" i="46"/>
  <c r="G69" i="44"/>
  <c r="E70" i="44"/>
  <c r="F70" i="44" s="1"/>
  <c r="D71" i="44" s="1"/>
  <c r="B70" i="44"/>
  <c r="E70" i="25"/>
  <c r="F70" i="25" s="1"/>
  <c r="D71" i="25" s="1"/>
  <c r="B70" i="25"/>
  <c r="I68" i="25"/>
  <c r="G72" i="27"/>
  <c r="G73" i="27" s="1"/>
  <c r="E69" i="31"/>
  <c r="F69" i="31" s="1"/>
  <c r="D70" i="31" s="1"/>
  <c r="B69" i="31"/>
  <c r="B67" i="29"/>
  <c r="E67" i="29"/>
  <c r="F67" i="29" s="1"/>
  <c r="D68" i="29" s="1"/>
  <c r="D70" i="23"/>
  <c r="E70" i="23" s="1"/>
  <c r="F70" i="23" s="1"/>
  <c r="G69" i="23"/>
  <c r="B69" i="23"/>
  <c r="H69" i="23"/>
  <c r="H58" i="43"/>
  <c r="D59" i="43"/>
  <c r="G58" i="43"/>
  <c r="E61" i="37"/>
  <c r="F61" i="37" s="1"/>
  <c r="H61" i="37" s="1"/>
  <c r="B61" i="37"/>
  <c r="E59" i="41"/>
  <c r="F59" i="41" s="1"/>
  <c r="G59" i="41" s="1"/>
  <c r="B59" i="41"/>
  <c r="H68" i="28"/>
  <c r="D69" i="28"/>
  <c r="E69" i="28" s="1"/>
  <c r="F69" i="28" s="1"/>
  <c r="H58" i="40"/>
  <c r="I58" i="40" s="1"/>
  <c r="D59" i="40"/>
  <c r="B68" i="28"/>
  <c r="G68" i="28"/>
  <c r="G60" i="42"/>
  <c r="I60" i="42" s="1"/>
  <c r="D61" i="42"/>
  <c r="G72" i="22"/>
  <c r="G73" i="22" s="1"/>
  <c r="G60" i="38"/>
  <c r="I60" i="38" s="1"/>
  <c r="D61" i="38"/>
  <c r="I67" i="28"/>
  <c r="H73" i="27"/>
  <c r="H73" i="22"/>
  <c r="I65" i="45"/>
  <c r="E67" i="45"/>
  <c r="F67" i="45" s="1"/>
  <c r="B67" i="45"/>
  <c r="G60" i="39"/>
  <c r="D61" i="39"/>
  <c r="H60" i="39"/>
  <c r="I58" i="41"/>
  <c r="B66" i="45"/>
  <c r="H66" i="45"/>
  <c r="G66" i="45"/>
  <c r="H62" i="30" l="1"/>
  <c r="I62" i="30" s="1"/>
  <c r="E63" i="30"/>
  <c r="F63" i="30" s="1"/>
  <c r="G63" i="30" s="1"/>
  <c r="B63" i="30"/>
  <c r="H63" i="30"/>
  <c r="I72" i="3"/>
  <c r="I73" i="3" s="1"/>
  <c r="H70" i="25"/>
  <c r="G70" i="25"/>
  <c r="I69" i="44"/>
  <c r="I58" i="46"/>
  <c r="I68" i="31"/>
  <c r="I69" i="25"/>
  <c r="G69" i="31"/>
  <c r="H69" i="31"/>
  <c r="H70" i="44"/>
  <c r="I69" i="23"/>
  <c r="I72" i="27"/>
  <c r="I73" i="27" s="1"/>
  <c r="I70" i="24"/>
  <c r="H71" i="24"/>
  <c r="G71" i="24"/>
  <c r="E72" i="24"/>
  <c r="E73" i="24" s="1"/>
  <c r="B72" i="24"/>
  <c r="G67" i="29"/>
  <c r="E71" i="25"/>
  <c r="F71" i="25" s="1"/>
  <c r="D72" i="25" s="1"/>
  <c r="B71" i="25"/>
  <c r="E59" i="46"/>
  <c r="F59" i="46" s="1"/>
  <c r="B59" i="46"/>
  <c r="E71" i="44"/>
  <c r="F71" i="44" s="1"/>
  <c r="D72" i="44" s="1"/>
  <c r="B71" i="44"/>
  <c r="G70" i="44"/>
  <c r="H67" i="29"/>
  <c r="E70" i="31"/>
  <c r="F70" i="31" s="1"/>
  <c r="D71" i="31" s="1"/>
  <c r="B70" i="31"/>
  <c r="E68" i="29"/>
  <c r="F68" i="29" s="1"/>
  <c r="H68" i="29" s="1"/>
  <c r="B68" i="29"/>
  <c r="D68" i="45"/>
  <c r="B68" i="45" s="1"/>
  <c r="H67" i="45"/>
  <c r="G70" i="23"/>
  <c r="D71" i="23"/>
  <c r="B70" i="23"/>
  <c r="H70" i="23"/>
  <c r="I68" i="28"/>
  <c r="E61" i="39"/>
  <c r="F61" i="39" s="1"/>
  <c r="B61" i="39"/>
  <c r="E61" i="38"/>
  <c r="F61" i="38" s="1"/>
  <c r="B61" i="38"/>
  <c r="B69" i="28"/>
  <c r="G69" i="28"/>
  <c r="I66" i="45"/>
  <c r="G67" i="45"/>
  <c r="G61" i="37"/>
  <c r="I61" i="37" s="1"/>
  <c r="D62" i="37"/>
  <c r="I58" i="43"/>
  <c r="E59" i="40"/>
  <c r="F59" i="40" s="1"/>
  <c r="B59" i="40"/>
  <c r="I72" i="22"/>
  <c r="I73" i="22" s="1"/>
  <c r="E59" i="43"/>
  <c r="F59" i="43" s="1"/>
  <c r="H59" i="43" s="1"/>
  <c r="B59" i="43"/>
  <c r="I60" i="39"/>
  <c r="E61" i="42"/>
  <c r="F61" i="42" s="1"/>
  <c r="B61" i="42"/>
  <c r="H69" i="28"/>
  <c r="D70" i="28"/>
  <c r="E70" i="28" s="1"/>
  <c r="F70" i="28" s="1"/>
  <c r="H59" i="41"/>
  <c r="I59" i="41" s="1"/>
  <c r="D60" i="41"/>
  <c r="I63" i="30" l="1"/>
  <c r="I70" i="44"/>
  <c r="D64" i="30"/>
  <c r="E64" i="30" s="1"/>
  <c r="F64" i="30" s="1"/>
  <c r="I70" i="25"/>
  <c r="I69" i="31"/>
  <c r="H71" i="25"/>
  <c r="H71" i="44"/>
  <c r="G71" i="44"/>
  <c r="F72" i="24"/>
  <c r="H72" i="24" s="1"/>
  <c r="H73" i="24" s="1"/>
  <c r="I67" i="29"/>
  <c r="I71" i="24"/>
  <c r="H70" i="31"/>
  <c r="G71" i="25"/>
  <c r="G70" i="31"/>
  <c r="E68" i="45"/>
  <c r="F68" i="45" s="1"/>
  <c r="D69" i="45" s="1"/>
  <c r="E69" i="45" s="1"/>
  <c r="F69" i="45" s="1"/>
  <c r="D70" i="45" s="1"/>
  <c r="G59" i="46"/>
  <c r="D60" i="46"/>
  <c r="E72" i="44"/>
  <c r="E73" i="44" s="1"/>
  <c r="B72" i="44"/>
  <c r="E72" i="25"/>
  <c r="E73" i="25" s="1"/>
  <c r="B72" i="25"/>
  <c r="I67" i="45"/>
  <c r="H59" i="46"/>
  <c r="D69" i="29"/>
  <c r="E69" i="29" s="1"/>
  <c r="F69" i="29" s="1"/>
  <c r="D70" i="29" s="1"/>
  <c r="E71" i="31"/>
  <c r="F71" i="31" s="1"/>
  <c r="D72" i="31" s="1"/>
  <c r="B71" i="31"/>
  <c r="G68" i="29"/>
  <c r="I68" i="29" s="1"/>
  <c r="D62" i="39"/>
  <c r="B62" i="39" s="1"/>
  <c r="H61" i="39"/>
  <c r="I70" i="23"/>
  <c r="E71" i="23"/>
  <c r="F71" i="23" s="1"/>
  <c r="G71" i="23" s="1"/>
  <c r="B71" i="23"/>
  <c r="G61" i="38"/>
  <c r="D62" i="38"/>
  <c r="H61" i="38"/>
  <c r="G59" i="40"/>
  <c r="D60" i="40"/>
  <c r="H59" i="40"/>
  <c r="G70" i="28"/>
  <c r="D71" i="28"/>
  <c r="E71" i="28" s="1"/>
  <c r="F71" i="28" s="1"/>
  <c r="H61" i="42"/>
  <c r="D62" i="42"/>
  <c r="G61" i="42"/>
  <c r="G61" i="39"/>
  <c r="E60" i="41"/>
  <c r="F60" i="41" s="1"/>
  <c r="B60" i="41"/>
  <c r="B70" i="28"/>
  <c r="H70" i="28"/>
  <c r="I69" i="28"/>
  <c r="G59" i="43"/>
  <c r="I59" i="43" s="1"/>
  <c r="D60" i="43"/>
  <c r="E62" i="37"/>
  <c r="F62" i="37" s="1"/>
  <c r="B62" i="37"/>
  <c r="G64" i="30" l="1"/>
  <c r="D65" i="30"/>
  <c r="B64" i="30"/>
  <c r="H64" i="30"/>
  <c r="I64" i="30" s="1"/>
  <c r="I71" i="44"/>
  <c r="G72" i="24"/>
  <c r="G73" i="24" s="1"/>
  <c r="I71" i="25"/>
  <c r="I59" i="46"/>
  <c r="F72" i="25"/>
  <c r="H72" i="25" s="1"/>
  <c r="H71" i="23"/>
  <c r="I71" i="23" s="1"/>
  <c r="I70" i="31"/>
  <c r="I70" i="28"/>
  <c r="G68" i="45"/>
  <c r="H68" i="45"/>
  <c r="I61" i="39"/>
  <c r="E62" i="39"/>
  <c r="F62" i="39" s="1"/>
  <c r="G62" i="39" s="1"/>
  <c r="H73" i="25"/>
  <c r="E60" i="46"/>
  <c r="F60" i="46" s="1"/>
  <c r="D61" i="46" s="1"/>
  <c r="B60" i="46"/>
  <c r="F72" i="44"/>
  <c r="I61" i="38"/>
  <c r="H71" i="31"/>
  <c r="E70" i="29"/>
  <c r="F70" i="29" s="1"/>
  <c r="D71" i="29" s="1"/>
  <c r="B70" i="29"/>
  <c r="E72" i="31"/>
  <c r="E73" i="31" s="1"/>
  <c r="B72" i="31"/>
  <c r="B69" i="29"/>
  <c r="G69" i="29"/>
  <c r="H69" i="29"/>
  <c r="I59" i="40"/>
  <c r="G71" i="31"/>
  <c r="D72" i="23"/>
  <c r="E72" i="23" s="1"/>
  <c r="E73" i="23" s="1"/>
  <c r="H60" i="41"/>
  <c r="D61" i="41"/>
  <c r="G60" i="41"/>
  <c r="H71" i="28"/>
  <c r="D72" i="28"/>
  <c r="E72" i="28" s="1"/>
  <c r="E73" i="28" s="1"/>
  <c r="G62" i="37"/>
  <c r="D63" i="37"/>
  <c r="E63" i="37" s="1"/>
  <c r="F63" i="37" s="1"/>
  <c r="H62" i="37"/>
  <c r="E70" i="45"/>
  <c r="F70" i="45" s="1"/>
  <c r="B70" i="45"/>
  <c r="E60" i="40"/>
  <c r="F60" i="40" s="1"/>
  <c r="B60" i="40"/>
  <c r="B69" i="45"/>
  <c r="G69" i="45"/>
  <c r="H69" i="45"/>
  <c r="E60" i="43"/>
  <c r="F60" i="43" s="1"/>
  <c r="G60" i="43" s="1"/>
  <c r="B60" i="43"/>
  <c r="I61" i="42"/>
  <c r="E62" i="42"/>
  <c r="F62" i="42" s="1"/>
  <c r="B62" i="42"/>
  <c r="E62" i="38"/>
  <c r="F62" i="38" s="1"/>
  <c r="B62" i="38"/>
  <c r="B71" i="28"/>
  <c r="G71" i="28"/>
  <c r="E65" i="30" l="1"/>
  <c r="F65" i="30" s="1"/>
  <c r="D66" i="30" s="1"/>
  <c r="B65" i="30"/>
  <c r="H65" i="30"/>
  <c r="H70" i="29"/>
  <c r="I72" i="24"/>
  <c r="I73" i="24" s="1"/>
  <c r="D63" i="39"/>
  <c r="B63" i="39" s="1"/>
  <c r="H62" i="39"/>
  <c r="I62" i="39" s="1"/>
  <c r="H60" i="46"/>
  <c r="G72" i="25"/>
  <c r="G73" i="25" s="1"/>
  <c r="G60" i="46"/>
  <c r="I68" i="45"/>
  <c r="I60" i="41"/>
  <c r="I69" i="29"/>
  <c r="G70" i="29"/>
  <c r="I70" i="29" s="1"/>
  <c r="G72" i="44"/>
  <c r="G73" i="44" s="1"/>
  <c r="H72" i="44"/>
  <c r="E61" i="46"/>
  <c r="F61" i="46" s="1"/>
  <c r="D62" i="46" s="1"/>
  <c r="B61" i="46"/>
  <c r="F72" i="31"/>
  <c r="E71" i="29"/>
  <c r="F71" i="29" s="1"/>
  <c r="H71" i="29" s="1"/>
  <c r="B71" i="29"/>
  <c r="I71" i="31"/>
  <c r="B72" i="23"/>
  <c r="F72" i="23"/>
  <c r="H72" i="23" s="1"/>
  <c r="H60" i="40"/>
  <c r="D61" i="40"/>
  <c r="G60" i="40"/>
  <c r="G62" i="38"/>
  <c r="D63" i="38"/>
  <c r="H62" i="38"/>
  <c r="H70" i="45"/>
  <c r="D71" i="45"/>
  <c r="G70" i="45"/>
  <c r="H62" i="42"/>
  <c r="D63" i="42"/>
  <c r="E63" i="42" s="1"/>
  <c r="F63" i="42" s="1"/>
  <c r="D64" i="42" s="1"/>
  <c r="G62" i="42"/>
  <c r="B63" i="37"/>
  <c r="H63" i="37"/>
  <c r="G63" i="37"/>
  <c r="B72" i="28"/>
  <c r="F72" i="28"/>
  <c r="G72" i="28" s="1"/>
  <c r="G73" i="28" s="1"/>
  <c r="I71" i="28"/>
  <c r="H60" i="43"/>
  <c r="I60" i="43" s="1"/>
  <c r="D61" i="43"/>
  <c r="I62" i="37"/>
  <c r="E61" i="41"/>
  <c r="F61" i="41" s="1"/>
  <c r="B61" i="41"/>
  <c r="I69" i="45"/>
  <c r="D64" i="37"/>
  <c r="E63" i="39" l="1"/>
  <c r="F63" i="39" s="1"/>
  <c r="G63" i="39" s="1"/>
  <c r="I60" i="46"/>
  <c r="G65" i="30"/>
  <c r="I65" i="30" s="1"/>
  <c r="E66" i="30"/>
  <c r="F66" i="30" s="1"/>
  <c r="D67" i="30" s="1"/>
  <c r="H66" i="30"/>
  <c r="B66" i="30"/>
  <c r="I72" i="25"/>
  <c r="I73" i="25" s="1"/>
  <c r="G61" i="46"/>
  <c r="H61" i="46"/>
  <c r="E62" i="46"/>
  <c r="F62" i="46" s="1"/>
  <c r="H62" i="46" s="1"/>
  <c r="B62" i="46"/>
  <c r="G71" i="29"/>
  <c r="I71" i="29" s="1"/>
  <c r="I72" i="44"/>
  <c r="I73" i="44" s="1"/>
  <c r="H73" i="44"/>
  <c r="I60" i="40"/>
  <c r="G72" i="23"/>
  <c r="G73" i="23" s="1"/>
  <c r="D72" i="29"/>
  <c r="E72" i="29" s="1"/>
  <c r="E73" i="29" s="1"/>
  <c r="G72" i="31"/>
  <c r="G73" i="31" s="1"/>
  <c r="H72" i="31"/>
  <c r="I63" i="37"/>
  <c r="I62" i="38"/>
  <c r="H73" i="23"/>
  <c r="I62" i="42"/>
  <c r="H61" i="41"/>
  <c r="D62" i="41"/>
  <c r="G61" i="41"/>
  <c r="B64" i="37"/>
  <c r="H72" i="28"/>
  <c r="E71" i="45"/>
  <c r="F71" i="45" s="1"/>
  <c r="B71" i="45"/>
  <c r="E64" i="42"/>
  <c r="F64" i="42" s="1"/>
  <c r="G64" i="42" s="1"/>
  <c r="B64" i="42"/>
  <c r="E63" i="38"/>
  <c r="F63" i="38" s="1"/>
  <c r="B63" i="38"/>
  <c r="B63" i="42"/>
  <c r="G63" i="42"/>
  <c r="H63" i="42"/>
  <c r="E64" i="37"/>
  <c r="F64" i="37" s="1"/>
  <c r="G64" i="37" s="1"/>
  <c r="E61" i="43"/>
  <c r="F61" i="43" s="1"/>
  <c r="B61" i="43"/>
  <c r="H63" i="39"/>
  <c r="I63" i="39" s="1"/>
  <c r="D64" i="39"/>
  <c r="E64" i="39" s="1"/>
  <c r="F64" i="39" s="1"/>
  <c r="D65" i="39" s="1"/>
  <c r="E61" i="40"/>
  <c r="F61" i="40" s="1"/>
  <c r="H61" i="40" s="1"/>
  <c r="B61" i="40"/>
  <c r="I70" i="45"/>
  <c r="G62" i="46" l="1"/>
  <c r="I61" i="41"/>
  <c r="G66" i="30"/>
  <c r="I66" i="30"/>
  <c r="E67" i="30"/>
  <c r="F67" i="30" s="1"/>
  <c r="D68" i="30" s="1"/>
  <c r="B67" i="30"/>
  <c r="H67" i="30"/>
  <c r="D72" i="45"/>
  <c r="E72" i="45" s="1"/>
  <c r="E73" i="45" s="1"/>
  <c r="G71" i="45"/>
  <c r="I61" i="46"/>
  <c r="I72" i="23"/>
  <c r="I73" i="23" s="1"/>
  <c r="I62" i="46"/>
  <c r="D63" i="46"/>
  <c r="E63" i="46" s="1"/>
  <c r="F63" i="46" s="1"/>
  <c r="I72" i="31"/>
  <c r="I73" i="31" s="1"/>
  <c r="H73" i="31"/>
  <c r="B72" i="29"/>
  <c r="F72" i="29"/>
  <c r="H72" i="29" s="1"/>
  <c r="E65" i="39"/>
  <c r="F65" i="39" s="1"/>
  <c r="B65" i="39"/>
  <c r="B64" i="39"/>
  <c r="H64" i="39"/>
  <c r="G64" i="39"/>
  <c r="H64" i="37"/>
  <c r="I64" i="37" s="1"/>
  <c r="D65" i="37"/>
  <c r="G61" i="43"/>
  <c r="D62" i="43"/>
  <c r="G63" i="38"/>
  <c r="D64" i="38"/>
  <c r="I63" i="42"/>
  <c r="H64" i="42"/>
  <c r="I64" i="42" s="1"/>
  <c r="D65" i="42"/>
  <c r="I72" i="28"/>
  <c r="I73" i="28" s="1"/>
  <c r="H73" i="28"/>
  <c r="G61" i="40"/>
  <c r="I61" i="40" s="1"/>
  <c r="D62" i="40"/>
  <c r="E62" i="41"/>
  <c r="F62" i="41" s="1"/>
  <c r="B62" i="41"/>
  <c r="H61" i="43"/>
  <c r="H63" i="38"/>
  <c r="H71" i="45"/>
  <c r="B72" i="45" l="1"/>
  <c r="I71" i="45"/>
  <c r="G67" i="30"/>
  <c r="I67" i="30" s="1"/>
  <c r="E68" i="30"/>
  <c r="F68" i="30" s="1"/>
  <c r="D69" i="30" s="1"/>
  <c r="B68" i="30"/>
  <c r="H68" i="30"/>
  <c r="G68" i="30"/>
  <c r="G72" i="29"/>
  <c r="G73" i="29" s="1"/>
  <c r="G63" i="46"/>
  <c r="D64" i="46"/>
  <c r="B63" i="46"/>
  <c r="H63" i="46"/>
  <c r="H73" i="29"/>
  <c r="G65" i="39"/>
  <c r="D66" i="39"/>
  <c r="H65" i="39"/>
  <c r="E62" i="43"/>
  <c r="F62" i="43" s="1"/>
  <c r="H62" i="43" s="1"/>
  <c r="B62" i="43"/>
  <c r="E65" i="37"/>
  <c r="F65" i="37" s="1"/>
  <c r="H65" i="37" s="1"/>
  <c r="B65" i="37"/>
  <c r="F72" i="45"/>
  <c r="I63" i="38"/>
  <c r="I64" i="39"/>
  <c r="H62" i="41"/>
  <c r="D63" i="41"/>
  <c r="E65" i="42"/>
  <c r="F65" i="42" s="1"/>
  <c r="B65" i="42"/>
  <c r="I61" i="43"/>
  <c r="E64" i="38"/>
  <c r="F64" i="38" s="1"/>
  <c r="B64" i="38"/>
  <c r="G62" i="41"/>
  <c r="E62" i="40"/>
  <c r="F62" i="40" s="1"/>
  <c r="G62" i="40" s="1"/>
  <c r="B62" i="40"/>
  <c r="I72" i="29" l="1"/>
  <c r="I73" i="29" s="1"/>
  <c r="E69" i="30"/>
  <c r="F69" i="30" s="1"/>
  <c r="D70" i="30" s="1"/>
  <c r="B69" i="30"/>
  <c r="I68" i="30"/>
  <c r="I63" i="46"/>
  <c r="E64" i="46"/>
  <c r="F64" i="46" s="1"/>
  <c r="D65" i="46" s="1"/>
  <c r="B64" i="46"/>
  <c r="I65" i="39"/>
  <c r="I62" i="41"/>
  <c r="H65" i="42"/>
  <c r="D66" i="42"/>
  <c r="G65" i="42"/>
  <c r="H64" i="38"/>
  <c r="D65" i="38"/>
  <c r="G64" i="38"/>
  <c r="E63" i="41"/>
  <c r="F63" i="41" s="1"/>
  <c r="G63" i="41" s="1"/>
  <c r="B63" i="41"/>
  <c r="H72" i="45"/>
  <c r="G72" i="45"/>
  <c r="G73" i="45" s="1"/>
  <c r="G62" i="43"/>
  <c r="I62" i="43" s="1"/>
  <c r="D63" i="43"/>
  <c r="G65" i="37"/>
  <c r="I65" i="37" s="1"/>
  <c r="D66" i="37"/>
  <c r="E66" i="39"/>
  <c r="F66" i="39" s="1"/>
  <c r="H66" i="39" s="1"/>
  <c r="B66" i="39"/>
  <c r="H62" i="40"/>
  <c r="I62" i="40" s="1"/>
  <c r="D63" i="40"/>
  <c r="H69" i="30" l="1"/>
  <c r="G69" i="30"/>
  <c r="E70" i="30"/>
  <c r="F70" i="30" s="1"/>
  <c r="D71" i="30" s="1"/>
  <c r="B70" i="30"/>
  <c r="G70" i="30"/>
  <c r="I64" i="38"/>
  <c r="G64" i="46"/>
  <c r="H64" i="46"/>
  <c r="E65" i="46"/>
  <c r="F65" i="46" s="1"/>
  <c r="H65" i="46" s="1"/>
  <c r="B65" i="46"/>
  <c r="E63" i="43"/>
  <c r="F63" i="43" s="1"/>
  <c r="B63" i="43"/>
  <c r="E66" i="42"/>
  <c r="F66" i="42" s="1"/>
  <c r="G66" i="42" s="1"/>
  <c r="B66" i="42"/>
  <c r="H63" i="41"/>
  <c r="I63" i="41" s="1"/>
  <c r="D64" i="41"/>
  <c r="G66" i="39"/>
  <c r="I66" i="39" s="1"/>
  <c r="D67" i="39"/>
  <c r="E65" i="38"/>
  <c r="F65" i="38" s="1"/>
  <c r="H65" i="38" s="1"/>
  <c r="B65" i="38"/>
  <c r="I72" i="45"/>
  <c r="I73" i="45" s="1"/>
  <c r="H73" i="45"/>
  <c r="E63" i="40"/>
  <c r="F63" i="40" s="1"/>
  <c r="B63" i="40"/>
  <c r="E66" i="37"/>
  <c r="F66" i="37" s="1"/>
  <c r="B66" i="37"/>
  <c r="I65" i="42"/>
  <c r="H70" i="30" l="1"/>
  <c r="I64" i="46"/>
  <c r="I69" i="30"/>
  <c r="I70" i="30"/>
  <c r="E71" i="30"/>
  <c r="F71" i="30" s="1"/>
  <c r="D72" i="30" s="1"/>
  <c r="B71" i="30"/>
  <c r="G65" i="46"/>
  <c r="I65" i="46" s="1"/>
  <c r="D66" i="46"/>
  <c r="E66" i="46" s="1"/>
  <c r="F66" i="46" s="1"/>
  <c r="H63" i="43"/>
  <c r="D64" i="43"/>
  <c r="G63" i="43"/>
  <c r="H66" i="37"/>
  <c r="D67" i="37"/>
  <c r="E67" i="37" s="1"/>
  <c r="F67" i="37" s="1"/>
  <c r="D68" i="37" s="1"/>
  <c r="G66" i="37"/>
  <c r="H63" i="40"/>
  <c r="D64" i="40"/>
  <c r="G63" i="40"/>
  <c r="G65" i="38"/>
  <c r="I65" i="38" s="1"/>
  <c r="D66" i="38"/>
  <c r="H66" i="42"/>
  <c r="I66" i="42" s="1"/>
  <c r="D67" i="42"/>
  <c r="E67" i="39"/>
  <c r="F67" i="39" s="1"/>
  <c r="B67" i="39"/>
  <c r="E64" i="41"/>
  <c r="F64" i="41" s="1"/>
  <c r="H64" i="41" s="1"/>
  <c r="B64" i="41"/>
  <c r="H71" i="30" l="1"/>
  <c r="G71" i="30"/>
  <c r="I71" i="30"/>
  <c r="E72" i="30"/>
  <c r="E73" i="30" s="1"/>
  <c r="B72" i="30"/>
  <c r="G66" i="46"/>
  <c r="D67" i="46"/>
  <c r="B66" i="46"/>
  <c r="H66" i="46"/>
  <c r="I66" i="37"/>
  <c r="G67" i="39"/>
  <c r="D68" i="39"/>
  <c r="H67" i="39"/>
  <c r="E64" i="40"/>
  <c r="F64" i="40" s="1"/>
  <c r="B64" i="40"/>
  <c r="E67" i="42"/>
  <c r="F67" i="42" s="1"/>
  <c r="G67" i="42" s="1"/>
  <c r="B67" i="42"/>
  <c r="E68" i="37"/>
  <c r="F68" i="37" s="1"/>
  <c r="G68" i="37" s="1"/>
  <c r="B68" i="37"/>
  <c r="G64" i="41"/>
  <c r="I64" i="41" s="1"/>
  <c r="D65" i="41"/>
  <c r="B67" i="37"/>
  <c r="H67" i="37"/>
  <c r="G67" i="37"/>
  <c r="E66" i="38"/>
  <c r="F66" i="38" s="1"/>
  <c r="B66" i="38"/>
  <c r="I63" i="43"/>
  <c r="I63" i="40"/>
  <c r="E64" i="43"/>
  <c r="F64" i="43" s="1"/>
  <c r="B64" i="43"/>
  <c r="F72" i="30" l="1"/>
  <c r="I66" i="46"/>
  <c r="E67" i="46"/>
  <c r="F67" i="46" s="1"/>
  <c r="D68" i="46" s="1"/>
  <c r="B67" i="46"/>
  <c r="I67" i="39"/>
  <c r="I67" i="37"/>
  <c r="H66" i="38"/>
  <c r="D67" i="38"/>
  <c r="E67" i="38" s="1"/>
  <c r="F67" i="38" s="1"/>
  <c r="G66" i="38"/>
  <c r="G64" i="40"/>
  <c r="D65" i="40"/>
  <c r="H64" i="40"/>
  <c r="G64" i="43"/>
  <c r="D65" i="43"/>
  <c r="H64" i="43"/>
  <c r="H68" i="37"/>
  <c r="I68" i="37" s="1"/>
  <c r="D69" i="37"/>
  <c r="E69" i="37" s="1"/>
  <c r="F69" i="37" s="1"/>
  <c r="D70" i="37" s="1"/>
  <c r="E65" i="41"/>
  <c r="F65" i="41" s="1"/>
  <c r="B65" i="41"/>
  <c r="H67" i="42"/>
  <c r="I67" i="42" s="1"/>
  <c r="D68" i="42"/>
  <c r="E68" i="39"/>
  <c r="F68" i="39" s="1"/>
  <c r="G68" i="39" s="1"/>
  <c r="B68" i="39"/>
  <c r="I64" i="43" l="1"/>
  <c r="H72" i="30"/>
  <c r="G72" i="30"/>
  <c r="G73" i="30" s="1"/>
  <c r="H67" i="46"/>
  <c r="G67" i="46"/>
  <c r="E68" i="46"/>
  <c r="F68" i="46" s="1"/>
  <c r="G68" i="46" s="1"/>
  <c r="B68" i="46"/>
  <c r="G65" i="41"/>
  <c r="D66" i="41"/>
  <c r="H65" i="41"/>
  <c r="D68" i="38"/>
  <c r="E68" i="38" s="1"/>
  <c r="F68" i="38" s="1"/>
  <c r="D69" i="38" s="1"/>
  <c r="I64" i="40"/>
  <c r="E65" i="43"/>
  <c r="F65" i="43" s="1"/>
  <c r="B65" i="43"/>
  <c r="H68" i="39"/>
  <c r="I68" i="39" s="1"/>
  <c r="E70" i="37"/>
  <c r="F70" i="37" s="1"/>
  <c r="H70" i="37" s="1"/>
  <c r="B70" i="37"/>
  <c r="E65" i="40"/>
  <c r="F65" i="40" s="1"/>
  <c r="B65" i="40"/>
  <c r="E68" i="42"/>
  <c r="F68" i="42" s="1"/>
  <c r="G68" i="42" s="1"/>
  <c r="B68" i="42"/>
  <c r="B69" i="37"/>
  <c r="H69" i="37"/>
  <c r="G69" i="37"/>
  <c r="D69" i="39"/>
  <c r="E69" i="39" s="1"/>
  <c r="F69" i="39" s="1"/>
  <c r="D70" i="39" s="1"/>
  <c r="I66" i="38"/>
  <c r="B67" i="38"/>
  <c r="G67" i="38"/>
  <c r="H67" i="38"/>
  <c r="I72" i="30" l="1"/>
  <c r="I73" i="30" s="1"/>
  <c r="H73" i="30"/>
  <c r="I67" i="46"/>
  <c r="H68" i="46"/>
  <c r="I68" i="46" s="1"/>
  <c r="D69" i="46"/>
  <c r="E69" i="46" s="1"/>
  <c r="F69" i="46" s="1"/>
  <c r="I69" i="37"/>
  <c r="E70" i="39"/>
  <c r="F70" i="39" s="1"/>
  <c r="B70" i="39"/>
  <c r="H65" i="43"/>
  <c r="D66" i="43"/>
  <c r="E66" i="43" s="1"/>
  <c r="F66" i="43" s="1"/>
  <c r="D67" i="43" s="1"/>
  <c r="G65" i="43"/>
  <c r="E69" i="38"/>
  <c r="F69" i="38" s="1"/>
  <c r="D70" i="38" s="1"/>
  <c r="B69" i="38"/>
  <c r="H65" i="40"/>
  <c r="D66" i="40"/>
  <c r="I67" i="38"/>
  <c r="H68" i="42"/>
  <c r="I68" i="42" s="1"/>
  <c r="D69" i="42"/>
  <c r="G70" i="37"/>
  <c r="I70" i="37" s="1"/>
  <c r="D71" i="37"/>
  <c r="B68" i="38"/>
  <c r="H68" i="38"/>
  <c r="G68" i="38"/>
  <c r="B69" i="39"/>
  <c r="G69" i="39"/>
  <c r="H69" i="39"/>
  <c r="G65" i="40"/>
  <c r="I65" i="41"/>
  <c r="E66" i="41"/>
  <c r="F66" i="41" s="1"/>
  <c r="B66" i="41"/>
  <c r="G69" i="46" l="1"/>
  <c r="D70" i="46"/>
  <c r="E70" i="46" s="1"/>
  <c r="F70" i="46" s="1"/>
  <c r="B69" i="46"/>
  <c r="H69" i="46"/>
  <c r="I68" i="38"/>
  <c r="I65" i="43"/>
  <c r="D67" i="41"/>
  <c r="G66" i="41"/>
  <c r="H66" i="41"/>
  <c r="E69" i="42"/>
  <c r="F69" i="42" s="1"/>
  <c r="H69" i="42" s="1"/>
  <c r="B69" i="42"/>
  <c r="E70" i="38"/>
  <c r="F70" i="38" s="1"/>
  <c r="B70" i="38"/>
  <c r="G70" i="39"/>
  <c r="D71" i="39"/>
  <c r="B66" i="43"/>
  <c r="G66" i="43"/>
  <c r="H66" i="43"/>
  <c r="E67" i="43"/>
  <c r="F67" i="43" s="1"/>
  <c r="G67" i="43" s="1"/>
  <c r="B67" i="43"/>
  <c r="I65" i="40"/>
  <c r="E71" i="37"/>
  <c r="F71" i="37" s="1"/>
  <c r="B71" i="37"/>
  <c r="H69" i="38"/>
  <c r="E66" i="40"/>
  <c r="F66" i="40" s="1"/>
  <c r="B66" i="40"/>
  <c r="I69" i="39"/>
  <c r="G69" i="38"/>
  <c r="H70" i="39"/>
  <c r="I69" i="46" l="1"/>
  <c r="D71" i="46"/>
  <c r="E71" i="46" s="1"/>
  <c r="F71" i="46" s="1"/>
  <c r="G70" i="46"/>
  <c r="B70" i="46"/>
  <c r="H70" i="46"/>
  <c r="I69" i="38"/>
  <c r="I70" i="39"/>
  <c r="I66" i="43"/>
  <c r="H70" i="38"/>
  <c r="D71" i="38"/>
  <c r="G70" i="38"/>
  <c r="D67" i="40"/>
  <c r="G66" i="40"/>
  <c r="H66" i="40"/>
  <c r="G71" i="37"/>
  <c r="D72" i="37"/>
  <c r="E72" i="37" s="1"/>
  <c r="E73" i="37" s="1"/>
  <c r="H71" i="37"/>
  <c r="B67" i="41"/>
  <c r="G69" i="42"/>
  <c r="I69" i="42" s="1"/>
  <c r="D70" i="42"/>
  <c r="E71" i="39"/>
  <c r="F71" i="39" s="1"/>
  <c r="B71" i="39"/>
  <c r="I66" i="41"/>
  <c r="H67" i="43"/>
  <c r="I67" i="43" s="1"/>
  <c r="D68" i="43"/>
  <c r="E67" i="41"/>
  <c r="F67" i="41" s="1"/>
  <c r="D68" i="41" s="1"/>
  <c r="I70" i="46" l="1"/>
  <c r="D72" i="46"/>
  <c r="E72" i="46" s="1"/>
  <c r="E73" i="46" s="1"/>
  <c r="B71" i="46"/>
  <c r="H71" i="46"/>
  <c r="G71" i="46"/>
  <c r="G67" i="41"/>
  <c r="H67" i="41"/>
  <c r="G71" i="39"/>
  <c r="D72" i="39"/>
  <c r="H71" i="39"/>
  <c r="I66" i="40"/>
  <c r="E68" i="43"/>
  <c r="F68" i="43" s="1"/>
  <c r="H68" i="43" s="1"/>
  <c r="B68" i="43"/>
  <c r="E67" i="40"/>
  <c r="F67" i="40" s="1"/>
  <c r="B67" i="40"/>
  <c r="B70" i="42"/>
  <c r="I71" i="37"/>
  <c r="I70" i="38"/>
  <c r="E68" i="41"/>
  <c r="F68" i="41" s="1"/>
  <c r="B68" i="41"/>
  <c r="E70" i="42"/>
  <c r="F70" i="42" s="1"/>
  <c r="H70" i="42" s="1"/>
  <c r="B72" i="37"/>
  <c r="F72" i="37"/>
  <c r="H72" i="37" s="1"/>
  <c r="E71" i="38"/>
  <c r="F71" i="38" s="1"/>
  <c r="G71" i="38" s="1"/>
  <c r="B71" i="38"/>
  <c r="I71" i="46" l="1"/>
  <c r="G72" i="37"/>
  <c r="G73" i="37" s="1"/>
  <c r="B72" i="46"/>
  <c r="F72" i="46"/>
  <c r="G72" i="46" s="1"/>
  <c r="G73" i="46" s="1"/>
  <c r="I67" i="41"/>
  <c r="H67" i="40"/>
  <c r="D68" i="40"/>
  <c r="G67" i="40"/>
  <c r="H68" i="41"/>
  <c r="D69" i="41"/>
  <c r="E69" i="41" s="1"/>
  <c r="F69" i="41" s="1"/>
  <c r="D70" i="41" s="1"/>
  <c r="G68" i="41"/>
  <c r="H73" i="37"/>
  <c r="G68" i="43"/>
  <c r="I68" i="43" s="1"/>
  <c r="D69" i="43"/>
  <c r="G70" i="42"/>
  <c r="I70" i="42" s="1"/>
  <c r="D71" i="42"/>
  <c r="H71" i="38"/>
  <c r="I71" i="38" s="1"/>
  <c r="D72" i="38"/>
  <c r="I71" i="39"/>
  <c r="E72" i="39"/>
  <c r="E73" i="39" s="1"/>
  <c r="B72" i="39"/>
  <c r="I72" i="37" l="1"/>
  <c r="I73" i="37" s="1"/>
  <c r="H72" i="46"/>
  <c r="I72" i="46" s="1"/>
  <c r="I73" i="46" s="1"/>
  <c r="I68" i="41"/>
  <c r="F72" i="39"/>
  <c r="G72" i="39" s="1"/>
  <c r="G73" i="39" s="1"/>
  <c r="E71" i="42"/>
  <c r="F71" i="42" s="1"/>
  <c r="B71" i="42"/>
  <c r="H72" i="39"/>
  <c r="B69" i="41"/>
  <c r="G69" i="41"/>
  <c r="H69" i="41"/>
  <c r="E70" i="41"/>
  <c r="F70" i="41" s="1"/>
  <c r="B70" i="41"/>
  <c r="E69" i="43"/>
  <c r="F69" i="43" s="1"/>
  <c r="G69" i="43" s="1"/>
  <c r="B69" i="43"/>
  <c r="I67" i="40"/>
  <c r="E72" i="38"/>
  <c r="E73" i="38" s="1"/>
  <c r="B72" i="38"/>
  <c r="E68" i="40"/>
  <c r="F68" i="40" s="1"/>
  <c r="B68" i="40"/>
  <c r="H73" i="46" l="1"/>
  <c r="I69" i="41"/>
  <c r="H68" i="40"/>
  <c r="D69" i="40"/>
  <c r="G68" i="40"/>
  <c r="G71" i="42"/>
  <c r="D72" i="42"/>
  <c r="H69" i="43"/>
  <c r="I69" i="43" s="1"/>
  <c r="D70" i="43"/>
  <c r="I72" i="39"/>
  <c r="I73" i="39" s="1"/>
  <c r="H73" i="39"/>
  <c r="H70" i="41"/>
  <c r="D71" i="41"/>
  <c r="E71" i="41" s="1"/>
  <c r="F71" i="41" s="1"/>
  <c r="D72" i="41" s="1"/>
  <c r="F72" i="38"/>
  <c r="G70" i="41"/>
  <c r="H71" i="42"/>
  <c r="I71" i="42" l="1"/>
  <c r="I70" i="41"/>
  <c r="E72" i="41"/>
  <c r="E73" i="41" s="1"/>
  <c r="B72" i="41"/>
  <c r="E70" i="43"/>
  <c r="F70" i="43" s="1"/>
  <c r="G70" i="43" s="1"/>
  <c r="B70" i="43"/>
  <c r="E72" i="42"/>
  <c r="E73" i="42" s="1"/>
  <c r="B72" i="42"/>
  <c r="H72" i="38"/>
  <c r="G72" i="38"/>
  <c r="G73" i="38" s="1"/>
  <c r="B71" i="41"/>
  <c r="H71" i="41"/>
  <c r="G71" i="41"/>
  <c r="I68" i="40"/>
  <c r="E69" i="40"/>
  <c r="F69" i="40" s="1"/>
  <c r="B69" i="40"/>
  <c r="F72" i="41" l="1"/>
  <c r="H72" i="41" s="1"/>
  <c r="F72" i="42"/>
  <c r="H72" i="42" s="1"/>
  <c r="D70" i="40"/>
  <c r="H69" i="40"/>
  <c r="G69" i="40"/>
  <c r="I71" i="41"/>
  <c r="I72" i="38"/>
  <c r="I73" i="38" s="1"/>
  <c r="H73" i="38"/>
  <c r="H73" i="41"/>
  <c r="H70" i="43"/>
  <c r="I70" i="43" s="1"/>
  <c r="D71" i="43"/>
  <c r="G72" i="42"/>
  <c r="G73" i="42" s="1"/>
  <c r="H73" i="42"/>
  <c r="G72" i="41" l="1"/>
  <c r="G73" i="41" s="1"/>
  <c r="I72" i="42"/>
  <c r="I73" i="42" s="1"/>
  <c r="E70" i="40"/>
  <c r="F70" i="40" s="1"/>
  <c r="B70" i="40"/>
  <c r="E71" i="43"/>
  <c r="F71" i="43" s="1"/>
  <c r="G71" i="43" s="1"/>
  <c r="B71" i="43"/>
  <c r="I69" i="40"/>
  <c r="I72" i="41" l="1"/>
  <c r="I73" i="41" s="1"/>
  <c r="G70" i="40"/>
  <c r="D71" i="40"/>
  <c r="H70" i="40"/>
  <c r="H71" i="43"/>
  <c r="I71" i="43" s="1"/>
  <c r="D72" i="43"/>
  <c r="B71" i="40" l="1"/>
  <c r="E72" i="43"/>
  <c r="E73" i="43" s="1"/>
  <c r="B72" i="43"/>
  <c r="E71" i="40"/>
  <c r="F71" i="40" s="1"/>
  <c r="D72" i="40" s="1"/>
  <c r="I70" i="40"/>
  <c r="F72" i="43" l="1"/>
  <c r="H71" i="40"/>
  <c r="G71" i="40"/>
  <c r="E72" i="40"/>
  <c r="E73" i="40" s="1"/>
  <c r="B72" i="40"/>
  <c r="G72" i="43" l="1"/>
  <c r="G73" i="43" s="1"/>
  <c r="H72" i="43"/>
  <c r="I71" i="40"/>
  <c r="F72" i="40"/>
  <c r="H73" i="43" l="1"/>
  <c r="I72" i="43"/>
  <c r="I73" i="43" s="1"/>
  <c r="H72" i="40"/>
  <c r="G72" i="40"/>
  <c r="G73" i="40" s="1"/>
  <c r="I72" i="40" l="1"/>
  <c r="I73" i="40" s="1"/>
  <c r="H73" i="40"/>
  <c r="F87" i="2" l="1"/>
  <c r="F86" i="2" l="1"/>
  <c r="F88" i="2" s="1"/>
  <c r="F89" i="2" s="1"/>
  <c r="F91" i="2" s="1"/>
  <c r="F92" i="2" s="1"/>
  <c r="F93" i="2" s="1"/>
  <c r="D95" i="10" l="1"/>
  <c r="J96" i="10" s="1"/>
  <c r="D95" i="38"/>
  <c r="J96" i="38" s="1"/>
  <c r="E104" i="38" s="1"/>
  <c r="F104" i="38" s="1"/>
  <c r="E105" i="38" s="1"/>
  <c r="D95" i="31"/>
  <c r="J96" i="31" s="1"/>
  <c r="E108" i="31" s="1"/>
  <c r="F108" i="31" s="1"/>
  <c r="E109" i="31" s="1"/>
  <c r="D95" i="30"/>
  <c r="J96" i="30" s="1"/>
  <c r="E107" i="30" s="1"/>
  <c r="F107" i="30" s="1"/>
  <c r="D95" i="41"/>
  <c r="J96" i="41" s="1"/>
  <c r="E104" i="41" s="1"/>
  <c r="F104" i="41" s="1"/>
  <c r="D95" i="25"/>
  <c r="J96" i="25" s="1"/>
  <c r="E112" i="25" s="1"/>
  <c r="F112" i="25" s="1"/>
  <c r="E113" i="25" s="1"/>
  <c r="D95" i="39"/>
  <c r="J96" i="39" s="1"/>
  <c r="E105" i="39" s="1"/>
  <c r="F105" i="39" s="1"/>
  <c r="D95" i="42"/>
  <c r="J96" i="42" s="1"/>
  <c r="E103" i="42" s="1"/>
  <c r="F103" i="42" s="1"/>
  <c r="D95" i="29"/>
  <c r="J96" i="29" s="1"/>
  <c r="D95" i="22"/>
  <c r="J96" i="22" s="1"/>
  <c r="E112" i="22" s="1"/>
  <c r="F112" i="22" s="1"/>
  <c r="D95" i="8"/>
  <c r="J96" i="8" s="1"/>
  <c r="E114" i="8" s="1"/>
  <c r="F114" i="8" s="1"/>
  <c r="D95" i="13"/>
  <c r="D95" i="28"/>
  <c r="J96" i="28" s="1"/>
  <c r="E108" i="28" s="1"/>
  <c r="F108" i="28" s="1"/>
  <c r="E109" i="28" s="1"/>
  <c r="D95" i="27"/>
  <c r="J96" i="27" s="1"/>
  <c r="E109" i="27" s="1"/>
  <c r="F109" i="27" s="1"/>
  <c r="E110" i="27" s="1"/>
  <c r="D95" i="3"/>
  <c r="J96" i="3" s="1"/>
  <c r="E113" i="3" s="1"/>
  <c r="F113" i="3" s="1"/>
  <c r="D95" i="46"/>
  <c r="J96" i="46" s="1"/>
  <c r="E102" i="46" s="1"/>
  <c r="F102" i="46" s="1"/>
  <c r="E103" i="46" s="1"/>
  <c r="D95" i="7"/>
  <c r="J96" i="7" s="1"/>
  <c r="D95" i="37"/>
  <c r="J96" i="37" s="1"/>
  <c r="E105" i="37" s="1"/>
  <c r="F105" i="37" s="1"/>
  <c r="E106" i="37" s="1"/>
  <c r="D95" i="43"/>
  <c r="J96" i="43" s="1"/>
  <c r="E103" i="43" s="1"/>
  <c r="F103" i="43" s="1"/>
  <c r="D95" i="40"/>
  <c r="J96" i="40" s="1"/>
  <c r="E104" i="40" s="1"/>
  <c r="F104" i="40" s="1"/>
  <c r="D95" i="4"/>
  <c r="J96" i="4" s="1"/>
  <c r="E113" i="4" s="1"/>
  <c r="F113" i="4" s="1"/>
  <c r="D95" i="44"/>
  <c r="J96" i="44" s="1"/>
  <c r="E103" i="44" s="1"/>
  <c r="F103" i="44" s="1"/>
  <c r="E104" i="44" s="1"/>
  <c r="D95" i="11"/>
  <c r="J96" i="11" s="1"/>
  <c r="E115" i="11" s="1"/>
  <c r="F115" i="11" s="1"/>
  <c r="E116" i="11" s="1"/>
  <c r="D95" i="24"/>
  <c r="J96" i="24" s="1"/>
  <c r="E110" i="24" s="1"/>
  <c r="F110" i="24" s="1"/>
  <c r="D95" i="23"/>
  <c r="J96" i="23" s="1"/>
  <c r="E111" i="23" s="1"/>
  <c r="F111" i="23" s="1"/>
  <c r="E112" i="23" s="1"/>
  <c r="D95" i="45"/>
  <c r="J96" i="45" s="1"/>
  <c r="E103" i="45" s="1"/>
  <c r="F103" i="45" s="1"/>
  <c r="E104" i="45" s="1"/>
  <c r="D95" i="6"/>
  <c r="J96" i="6" s="1"/>
  <c r="E114" i="6" s="1"/>
  <c r="F114" i="6" s="1"/>
  <c r="D95" i="9"/>
  <c r="J96" i="9" s="1"/>
  <c r="E115" i="9" s="1"/>
  <c r="F115" i="9" s="1"/>
  <c r="E116" i="9" s="1"/>
  <c r="D95" i="5"/>
  <c r="J96" i="5" s="1"/>
  <c r="E113" i="5" s="1"/>
  <c r="F113" i="5" s="1"/>
  <c r="E116" i="10"/>
  <c r="E116" i="7"/>
  <c r="F116" i="7" s="1"/>
  <c r="E117" i="7" s="1"/>
  <c r="E108" i="29"/>
  <c r="F108" i="29" s="1"/>
  <c r="E111" i="24" l="1"/>
  <c r="G110" i="24"/>
  <c r="I110" i="24" s="1"/>
  <c r="D111" i="24"/>
  <c r="H110" i="24"/>
  <c r="M88" i="24" s="1"/>
  <c r="M89" i="24" s="1"/>
  <c r="D104" i="44"/>
  <c r="H103" i="44"/>
  <c r="M88" i="44" s="1"/>
  <c r="M89" i="44" s="1"/>
  <c r="G103" i="44"/>
  <c r="I103" i="44" s="1"/>
  <c r="G108" i="29"/>
  <c r="I108" i="29" s="1"/>
  <c r="D109" i="29"/>
  <c r="H108" i="29"/>
  <c r="M88" i="29" s="1"/>
  <c r="M89" i="29" s="1"/>
  <c r="E109" i="29"/>
  <c r="E104" i="43"/>
  <c r="H103" i="43"/>
  <c r="D104" i="43"/>
  <c r="G103" i="43"/>
  <c r="I103" i="43" s="1"/>
  <c r="G103" i="42"/>
  <c r="I103" i="42" s="1"/>
  <c r="J103" i="42" s="1"/>
  <c r="H103" i="42"/>
  <c r="D104" i="42"/>
  <c r="E104" i="42"/>
  <c r="G105" i="37"/>
  <c r="I105" i="37" s="1"/>
  <c r="D106" i="37"/>
  <c r="H105" i="37"/>
  <c r="M88" i="37" s="1"/>
  <c r="M89" i="37" s="1"/>
  <c r="E115" i="6"/>
  <c r="H114" i="6"/>
  <c r="M88" i="6" s="1"/>
  <c r="M89" i="6" s="1"/>
  <c r="G114" i="6"/>
  <c r="I114" i="6" s="1"/>
  <c r="D115" i="6"/>
  <c r="E105" i="41"/>
  <c r="D105" i="41"/>
  <c r="H104" i="41"/>
  <c r="M88" i="41" s="1"/>
  <c r="M89" i="41" s="1"/>
  <c r="G104" i="41"/>
  <c r="I104" i="41" s="1"/>
  <c r="H102" i="46"/>
  <c r="M88" i="46" s="1"/>
  <c r="M89" i="46" s="1"/>
  <c r="G102" i="46"/>
  <c r="I102" i="46" s="1"/>
  <c r="D103" i="46"/>
  <c r="E108" i="30"/>
  <c r="D108" i="30"/>
  <c r="G107" i="30"/>
  <c r="I107" i="30" s="1"/>
  <c r="H107" i="30"/>
  <c r="M88" i="30" s="1"/>
  <c r="M89" i="30" s="1"/>
  <c r="E114" i="4"/>
  <c r="H113" i="4"/>
  <c r="M88" i="4" s="1"/>
  <c r="M89" i="4" s="1"/>
  <c r="D114" i="4"/>
  <c r="G113" i="4"/>
  <c r="I113" i="4" s="1"/>
  <c r="G115" i="11"/>
  <c r="I115" i="11" s="1"/>
  <c r="H115" i="11"/>
  <c r="M88" i="11" s="1"/>
  <c r="M89" i="11" s="1"/>
  <c r="D116" i="11"/>
  <c r="E115" i="8"/>
  <c r="G114" i="8"/>
  <c r="I114" i="8" s="1"/>
  <c r="H114" i="8"/>
  <c r="M88" i="8" s="1"/>
  <c r="M89" i="8" s="1"/>
  <c r="D115" i="8"/>
  <c r="E105" i="40"/>
  <c r="G104" i="40"/>
  <c r="I104" i="40" s="1"/>
  <c r="H104" i="40"/>
  <c r="M88" i="40" s="1"/>
  <c r="M89" i="40" s="1"/>
  <c r="D105" i="40"/>
  <c r="E106" i="39"/>
  <c r="H105" i="39"/>
  <c r="M88" i="39" s="1"/>
  <c r="M89" i="39" s="1"/>
  <c r="G105" i="39"/>
  <c r="I105" i="39" s="1"/>
  <c r="D106" i="39"/>
  <c r="H109" i="27"/>
  <c r="D110" i="27"/>
  <c r="G109" i="27"/>
  <c r="I109" i="27" s="1"/>
  <c r="E114" i="3"/>
  <c r="D114" i="3"/>
  <c r="H113" i="3"/>
  <c r="M88" i="3" s="1"/>
  <c r="G113" i="3"/>
  <c r="I113" i="3" s="1"/>
  <c r="H104" i="38"/>
  <c r="M88" i="38" s="1"/>
  <c r="M89" i="38" s="1"/>
  <c r="G104" i="38"/>
  <c r="I104" i="38" s="1"/>
  <c r="D105" i="38"/>
  <c r="G112" i="25"/>
  <c r="I112" i="25" s="1"/>
  <c r="H112" i="25"/>
  <c r="M88" i="25" s="1"/>
  <c r="M89" i="25" s="1"/>
  <c r="D113" i="25"/>
  <c r="H116" i="7"/>
  <c r="M88" i="7" s="1"/>
  <c r="M89" i="7" s="1"/>
  <c r="G116" i="7"/>
  <c r="I116" i="7" s="1"/>
  <c r="D117" i="7"/>
  <c r="E114" i="5"/>
  <c r="D114" i="5"/>
  <c r="H113" i="5"/>
  <c r="M88" i="5" s="1"/>
  <c r="M89" i="5" s="1"/>
  <c r="G113" i="5"/>
  <c r="I113" i="5" s="1"/>
  <c r="D109" i="31"/>
  <c r="G108" i="31"/>
  <c r="I108" i="31" s="1"/>
  <c r="H108" i="31"/>
  <c r="M88" i="31" s="1"/>
  <c r="M89" i="31" s="1"/>
  <c r="D112" i="23"/>
  <c r="G111" i="23"/>
  <c r="I111" i="23" s="1"/>
  <c r="H111" i="23"/>
  <c r="M88" i="23" s="1"/>
  <c r="M89" i="23" s="1"/>
  <c r="D116" i="9"/>
  <c r="H115" i="9"/>
  <c r="M88" i="9" s="1"/>
  <c r="M89" i="9" s="1"/>
  <c r="G115" i="9"/>
  <c r="I115" i="9" s="1"/>
  <c r="H108" i="28"/>
  <c r="M88" i="28" s="1"/>
  <c r="M89" i="28" s="1"/>
  <c r="G108" i="28"/>
  <c r="I108" i="28" s="1"/>
  <c r="D109" i="28"/>
  <c r="H103" i="45"/>
  <c r="M88" i="45" s="1"/>
  <c r="M89" i="45" s="1"/>
  <c r="D104" i="45"/>
  <c r="G103" i="45"/>
  <c r="I103" i="45" s="1"/>
  <c r="F116" i="10"/>
  <c r="E113" i="22"/>
  <c r="D113" i="22"/>
  <c r="H112" i="22"/>
  <c r="M88" i="22" s="1"/>
  <c r="M89" i="22" s="1"/>
  <c r="G112" i="22"/>
  <c r="I112" i="22" s="1"/>
  <c r="I44" i="17"/>
  <c r="I24" i="17"/>
  <c r="I30" i="17"/>
  <c r="I28" i="17"/>
  <c r="I27" i="17"/>
  <c r="I19" i="17"/>
  <c r="I39" i="17"/>
  <c r="I29" i="17"/>
  <c r="I33" i="17"/>
  <c r="I38" i="17"/>
  <c r="I35" i="17"/>
  <c r="I37" i="17"/>
  <c r="I36" i="17"/>
  <c r="I34" i="17"/>
  <c r="I32" i="17"/>
  <c r="I26" i="17"/>
  <c r="I45" i="17"/>
  <c r="I40" i="17"/>
  <c r="I20" i="17"/>
  <c r="I43" i="17"/>
  <c r="I23" i="17"/>
  <c r="I21" i="17"/>
  <c r="I22" i="17"/>
  <c r="J103" i="43" l="1"/>
  <c r="V35" i="17"/>
  <c r="V38" i="17"/>
  <c r="V36" i="17"/>
  <c r="V43" i="17"/>
  <c r="V22" i="17"/>
  <c r="V34" i="17"/>
  <c r="V40" i="17"/>
  <c r="V37" i="17"/>
  <c r="V45" i="17"/>
  <c r="V24" i="17"/>
  <c r="V30" i="17"/>
  <c r="V29" i="17"/>
  <c r="V27" i="17"/>
  <c r="V21" i="17"/>
  <c r="V32" i="17"/>
  <c r="V39" i="17"/>
  <c r="V26" i="17"/>
  <c r="V23" i="17"/>
  <c r="V28" i="17"/>
  <c r="V33" i="17"/>
  <c r="V19" i="17"/>
  <c r="V20" i="17"/>
  <c r="V44" i="17"/>
  <c r="B109" i="28"/>
  <c r="F109" i="28"/>
  <c r="H109" i="28" s="1"/>
  <c r="B115" i="8"/>
  <c r="F115" i="8"/>
  <c r="J116" i="7"/>
  <c r="N88" i="7"/>
  <c r="M89" i="3"/>
  <c r="N88" i="8"/>
  <c r="J114" i="8"/>
  <c r="J104" i="41"/>
  <c r="N88" i="41"/>
  <c r="F104" i="43"/>
  <c r="B104" i="43"/>
  <c r="F106" i="39"/>
  <c r="H106" i="39" s="1"/>
  <c r="B106" i="39"/>
  <c r="N88" i="39"/>
  <c r="J105" i="39"/>
  <c r="N88" i="9"/>
  <c r="J115" i="9"/>
  <c r="B109" i="31"/>
  <c r="F109" i="31"/>
  <c r="H109" i="31" s="1"/>
  <c r="F113" i="25"/>
  <c r="H113" i="25" s="1"/>
  <c r="B113" i="25"/>
  <c r="F114" i="3"/>
  <c r="B114" i="3"/>
  <c r="B106" i="37"/>
  <c r="F106" i="37"/>
  <c r="H106" i="37" s="1"/>
  <c r="F104" i="44"/>
  <c r="B104" i="44"/>
  <c r="N88" i="29"/>
  <c r="J108" i="29"/>
  <c r="J113" i="5"/>
  <c r="N88" i="5"/>
  <c r="F105" i="40"/>
  <c r="H105" i="40" s="1"/>
  <c r="B105" i="40"/>
  <c r="B116" i="11"/>
  <c r="F116" i="11"/>
  <c r="H116" i="11" s="1"/>
  <c r="N88" i="30"/>
  <c r="J107" i="30"/>
  <c r="B105" i="41"/>
  <c r="F105" i="41"/>
  <c r="H105" i="41" s="1"/>
  <c r="N88" i="37"/>
  <c r="J105" i="37"/>
  <c r="J108" i="28"/>
  <c r="N88" i="28"/>
  <c r="N88" i="3"/>
  <c r="J113" i="3"/>
  <c r="E117" i="10"/>
  <c r="D117" i="10"/>
  <c r="G116" i="10"/>
  <c r="I116" i="10" s="1"/>
  <c r="H116" i="10"/>
  <c r="M88" i="10" s="1"/>
  <c r="M89" i="10" s="1"/>
  <c r="B116" i="9"/>
  <c r="F116" i="9"/>
  <c r="H116" i="9" s="1"/>
  <c r="N88" i="27"/>
  <c r="J109" i="27"/>
  <c r="B108" i="30"/>
  <c r="F108" i="30"/>
  <c r="H108" i="30" s="1"/>
  <c r="F111" i="24"/>
  <c r="H111" i="24" s="1"/>
  <c r="B111" i="24"/>
  <c r="F117" i="7"/>
  <c r="H117" i="7" s="1"/>
  <c r="B117" i="7"/>
  <c r="B114" i="4"/>
  <c r="F114" i="4"/>
  <c r="H114" i="4" s="1"/>
  <c r="J103" i="44"/>
  <c r="N88" i="44"/>
  <c r="N88" i="31"/>
  <c r="J108" i="31"/>
  <c r="J103" i="45"/>
  <c r="N88" i="45"/>
  <c r="N88" i="25"/>
  <c r="J112" i="25"/>
  <c r="F114" i="5"/>
  <c r="B114" i="5"/>
  <c r="B105" i="38"/>
  <c r="F105" i="38"/>
  <c r="H105" i="38" s="1"/>
  <c r="F110" i="27"/>
  <c r="H110" i="27" s="1"/>
  <c r="B110" i="27"/>
  <c r="N88" i="40"/>
  <c r="J104" i="40"/>
  <c r="N88" i="11"/>
  <c r="J115" i="11"/>
  <c r="B115" i="6"/>
  <c r="F115" i="6"/>
  <c r="H115" i="6" s="1"/>
  <c r="B104" i="42"/>
  <c r="F104" i="42"/>
  <c r="H104" i="42" s="1"/>
  <c r="M88" i="42" s="1"/>
  <c r="M89" i="42" s="1"/>
  <c r="N88" i="24"/>
  <c r="J110" i="24"/>
  <c r="F112" i="23"/>
  <c r="H112" i="23" s="1"/>
  <c r="B112" i="23"/>
  <c r="N88" i="46"/>
  <c r="J102" i="46"/>
  <c r="F113" i="22"/>
  <c r="H113" i="22" s="1"/>
  <c r="B113" i="22"/>
  <c r="B104" i="45"/>
  <c r="F104" i="45"/>
  <c r="H104" i="45" s="1"/>
  <c r="N88" i="22"/>
  <c r="J112" i="22"/>
  <c r="N88" i="23"/>
  <c r="J111" i="23"/>
  <c r="N88" i="38"/>
  <c r="J104" i="38"/>
  <c r="M88" i="27"/>
  <c r="M89" i="27" s="1"/>
  <c r="N88" i="4"/>
  <c r="J113" i="4"/>
  <c r="F103" i="46"/>
  <c r="H103" i="46" s="1"/>
  <c r="B103" i="46"/>
  <c r="N88" i="6"/>
  <c r="J114" i="6"/>
  <c r="B109" i="29"/>
  <c r="F109" i="29"/>
  <c r="H109" i="29" s="1"/>
  <c r="I31" i="17"/>
  <c r="I41" i="17"/>
  <c r="I18" i="17"/>
  <c r="I25" i="17"/>
  <c r="V18" i="17" l="1"/>
  <c r="V31" i="17"/>
  <c r="V25" i="17"/>
  <c r="V41" i="17"/>
  <c r="D106" i="41"/>
  <c r="G105" i="41"/>
  <c r="I105" i="41" s="1"/>
  <c r="J105" i="41" s="1"/>
  <c r="E106" i="41"/>
  <c r="N89" i="9"/>
  <c r="O88" i="9"/>
  <c r="O89" i="9" s="1"/>
  <c r="G104" i="45"/>
  <c r="I104" i="45" s="1"/>
  <c r="J104" i="45" s="1"/>
  <c r="D105" i="45"/>
  <c r="E105" i="45"/>
  <c r="D116" i="6"/>
  <c r="G115" i="6"/>
  <c r="I115" i="6" s="1"/>
  <c r="E116" i="6"/>
  <c r="G110" i="27"/>
  <c r="I110" i="27" s="1"/>
  <c r="D111" i="27"/>
  <c r="E111" i="27"/>
  <c r="O88" i="25"/>
  <c r="O89" i="25" s="1"/>
  <c r="N89" i="25"/>
  <c r="D112" i="24"/>
  <c r="G111" i="24"/>
  <c r="I111" i="24" s="1"/>
  <c r="J111" i="24" s="1"/>
  <c r="E112" i="24"/>
  <c r="G116" i="9"/>
  <c r="I116" i="9" s="1"/>
  <c r="J116" i="9" s="1"/>
  <c r="D117" i="9"/>
  <c r="E117" i="9"/>
  <c r="O88" i="3"/>
  <c r="O89" i="3" s="1"/>
  <c r="N89" i="3"/>
  <c r="N89" i="41"/>
  <c r="O88" i="41"/>
  <c r="O89" i="41" s="1"/>
  <c r="O88" i="7"/>
  <c r="O89" i="7" s="1"/>
  <c r="N89" i="7"/>
  <c r="O88" i="4"/>
  <c r="O89" i="4" s="1"/>
  <c r="N89" i="4"/>
  <c r="N89" i="6"/>
  <c r="O88" i="6"/>
  <c r="O89" i="6" s="1"/>
  <c r="G112" i="23"/>
  <c r="I112" i="23" s="1"/>
  <c r="J112" i="23" s="1"/>
  <c r="D113" i="23"/>
  <c r="E113" i="23"/>
  <c r="N89" i="45"/>
  <c r="O88" i="45"/>
  <c r="O89" i="45" s="1"/>
  <c r="D115" i="4"/>
  <c r="G114" i="4"/>
  <c r="I114" i="4" s="1"/>
  <c r="J114" i="4" s="1"/>
  <c r="E115" i="4"/>
  <c r="D106" i="40"/>
  <c r="G105" i="40"/>
  <c r="I105" i="40" s="1"/>
  <c r="J105" i="40" s="1"/>
  <c r="E106" i="40"/>
  <c r="H104" i="44"/>
  <c r="D105" i="44"/>
  <c r="G104" i="44"/>
  <c r="I104" i="44" s="1"/>
  <c r="E105" i="44"/>
  <c r="N89" i="39"/>
  <c r="O88" i="39"/>
  <c r="O89" i="39" s="1"/>
  <c r="O88" i="22"/>
  <c r="O89" i="22" s="1"/>
  <c r="N89" i="22"/>
  <c r="O88" i="44"/>
  <c r="O89" i="44" s="1"/>
  <c r="N89" i="44"/>
  <c r="G114" i="3"/>
  <c r="I114" i="3" s="1"/>
  <c r="D115" i="3"/>
  <c r="E115" i="3"/>
  <c r="D105" i="43"/>
  <c r="G104" i="43"/>
  <c r="I104" i="43" s="1"/>
  <c r="E105" i="43"/>
  <c r="N89" i="38"/>
  <c r="O88" i="38"/>
  <c r="O89" i="38" s="1"/>
  <c r="G105" i="38"/>
  <c r="I105" i="38" s="1"/>
  <c r="J105" i="38" s="1"/>
  <c r="D106" i="38"/>
  <c r="E106" i="38"/>
  <c r="D109" i="30"/>
  <c r="G108" i="30"/>
  <c r="I108" i="30" s="1"/>
  <c r="E109" i="30"/>
  <c r="O88" i="28"/>
  <c r="O89" i="28" s="1"/>
  <c r="N89" i="28"/>
  <c r="G113" i="25"/>
  <c r="I113" i="25" s="1"/>
  <c r="J113" i="25" s="1"/>
  <c r="D114" i="25"/>
  <c r="E114" i="25"/>
  <c r="H115" i="8"/>
  <c r="G115" i="8"/>
  <c r="I115" i="8" s="1"/>
  <c r="D116" i="8"/>
  <c r="E116" i="8"/>
  <c r="O88" i="27"/>
  <c r="O89" i="27" s="1"/>
  <c r="N89" i="27"/>
  <c r="N89" i="24"/>
  <c r="O88" i="24"/>
  <c r="O89" i="24" s="1"/>
  <c r="N89" i="11"/>
  <c r="O88" i="11"/>
  <c r="O89" i="11" s="1"/>
  <c r="N88" i="10"/>
  <c r="J116" i="10"/>
  <c r="O88" i="30"/>
  <c r="O89" i="30" s="1"/>
  <c r="N89" i="30"/>
  <c r="N89" i="5"/>
  <c r="O88" i="5"/>
  <c r="O89" i="5" s="1"/>
  <c r="G106" i="37"/>
  <c r="I106" i="37" s="1"/>
  <c r="J106" i="37" s="1"/>
  <c r="D107" i="37"/>
  <c r="E107" i="37"/>
  <c r="O88" i="46"/>
  <c r="O89" i="46" s="1"/>
  <c r="N89" i="46"/>
  <c r="G114" i="5"/>
  <c r="I114" i="5" s="1"/>
  <c r="D115" i="5"/>
  <c r="E115" i="5"/>
  <c r="O88" i="29"/>
  <c r="O89" i="29" s="1"/>
  <c r="N89" i="29"/>
  <c r="O88" i="23"/>
  <c r="O89" i="23" s="1"/>
  <c r="N89" i="23"/>
  <c r="G113" i="22"/>
  <c r="I113" i="22" s="1"/>
  <c r="J113" i="22" s="1"/>
  <c r="D114" i="22"/>
  <c r="E114" i="22"/>
  <c r="H114" i="5"/>
  <c r="B117" i="10"/>
  <c r="F117" i="10"/>
  <c r="H117" i="10" s="1"/>
  <c r="D110" i="31"/>
  <c r="G109" i="31"/>
  <c r="I109" i="31" s="1"/>
  <c r="E110" i="31"/>
  <c r="D107" i="39"/>
  <c r="G106" i="39"/>
  <c r="I106" i="39" s="1"/>
  <c r="J106" i="39" s="1"/>
  <c r="E107" i="39"/>
  <c r="O88" i="8"/>
  <c r="O89" i="8" s="1"/>
  <c r="N89" i="8"/>
  <c r="D104" i="46"/>
  <c r="G103" i="46"/>
  <c r="I103" i="46" s="1"/>
  <c r="J103" i="46" s="1"/>
  <c r="E104" i="46"/>
  <c r="D110" i="29"/>
  <c r="G109" i="29"/>
  <c r="I109" i="29" s="1"/>
  <c r="E110" i="29"/>
  <c r="D105" i="42"/>
  <c r="G104" i="42"/>
  <c r="I104" i="42" s="1"/>
  <c r="E105" i="42"/>
  <c r="O88" i="40"/>
  <c r="O89" i="40" s="1"/>
  <c r="N89" i="40"/>
  <c r="O88" i="31"/>
  <c r="O89" i="31" s="1"/>
  <c r="N89" i="31"/>
  <c r="D118" i="7"/>
  <c r="G117" i="7"/>
  <c r="I117" i="7" s="1"/>
  <c r="E118" i="7"/>
  <c r="N89" i="37"/>
  <c r="O88" i="37"/>
  <c r="O89" i="37" s="1"/>
  <c r="D117" i="11"/>
  <c r="G116" i="11"/>
  <c r="I116" i="11" s="1"/>
  <c r="J116" i="11" s="1"/>
  <c r="E117" i="11"/>
  <c r="H114" i="3"/>
  <c r="H104" i="43"/>
  <c r="M88" i="43" s="1"/>
  <c r="M89" i="43" s="1"/>
  <c r="G109" i="28"/>
  <c r="I109" i="28" s="1"/>
  <c r="D110" i="28"/>
  <c r="E110" i="28"/>
  <c r="I42" i="17"/>
  <c r="N18" i="2" l="1"/>
  <c r="R134" i="2" s="1"/>
  <c r="V42" i="17"/>
  <c r="V50" i="17" s="1"/>
  <c r="I50" i="17"/>
  <c r="F115" i="5"/>
  <c r="H115" i="5" s="1"/>
  <c r="B115" i="5"/>
  <c r="F114" i="22"/>
  <c r="B114" i="22"/>
  <c r="J117" i="7"/>
  <c r="B105" i="42"/>
  <c r="F105" i="42"/>
  <c r="H105" i="42" s="1"/>
  <c r="J109" i="31"/>
  <c r="B117" i="9"/>
  <c r="F117" i="9"/>
  <c r="H117" i="9" s="1"/>
  <c r="F111" i="27"/>
  <c r="B111" i="27"/>
  <c r="J114" i="3"/>
  <c r="F106" i="40"/>
  <c r="B106" i="40"/>
  <c r="F118" i="7"/>
  <c r="B118" i="7"/>
  <c r="B110" i="31"/>
  <c r="F110" i="31"/>
  <c r="H110" i="31" s="1"/>
  <c r="F116" i="8"/>
  <c r="B116" i="8"/>
  <c r="J110" i="27"/>
  <c r="O88" i="10"/>
  <c r="O89" i="10" s="1"/>
  <c r="N89" i="10"/>
  <c r="B115" i="3"/>
  <c r="F115" i="3"/>
  <c r="H115" i="3" s="1"/>
  <c r="J109" i="29"/>
  <c r="J115" i="8"/>
  <c r="J108" i="30"/>
  <c r="J104" i="44"/>
  <c r="B115" i="4"/>
  <c r="F115" i="4"/>
  <c r="H115" i="4" s="1"/>
  <c r="B104" i="46"/>
  <c r="F104" i="46"/>
  <c r="B105" i="45"/>
  <c r="F105" i="45"/>
  <c r="N88" i="42"/>
  <c r="J104" i="42"/>
  <c r="J114" i="5"/>
  <c r="B117" i="11"/>
  <c r="F117" i="11"/>
  <c r="H117" i="11" s="1"/>
  <c r="F110" i="29"/>
  <c r="H110" i="29" s="1"/>
  <c r="B110" i="29"/>
  <c r="G117" i="10"/>
  <c r="I117" i="10" s="1"/>
  <c r="D118" i="10"/>
  <c r="E118" i="10"/>
  <c r="F109" i="30"/>
  <c r="B109" i="30"/>
  <c r="N88" i="43"/>
  <c r="J104" i="43"/>
  <c r="B105" i="44"/>
  <c r="F105" i="44"/>
  <c r="H105" i="44" s="1"/>
  <c r="J115" i="6"/>
  <c r="B107" i="37"/>
  <c r="F107" i="37"/>
  <c r="H107" i="37" s="1"/>
  <c r="F110" i="28"/>
  <c r="H110" i="28" s="1"/>
  <c r="B110" i="28"/>
  <c r="B105" i="43"/>
  <c r="F105" i="43"/>
  <c r="H105" i="43" s="1"/>
  <c r="B112" i="24"/>
  <c r="F112" i="24"/>
  <c r="H112" i="24" s="1"/>
  <c r="F116" i="6"/>
  <c r="H116" i="6" s="1"/>
  <c r="B116" i="6"/>
  <c r="F107" i="39"/>
  <c r="H107" i="39" s="1"/>
  <c r="B107" i="39"/>
  <c r="B113" i="23"/>
  <c r="F113" i="23"/>
  <c r="H113" i="23" s="1"/>
  <c r="J109" i="28"/>
  <c r="B114" i="25"/>
  <c r="F114" i="25"/>
  <c r="H114" i="25" s="1"/>
  <c r="B106" i="38"/>
  <c r="F106" i="38"/>
  <c r="H106" i="38" s="1"/>
  <c r="F106" i="41"/>
  <c r="B106" i="41"/>
  <c r="N19" i="2" l="1"/>
  <c r="N20" i="2" s="1"/>
  <c r="O18" i="2"/>
  <c r="P18" i="2" s="1"/>
  <c r="P19" i="2" s="1"/>
  <c r="D107" i="40"/>
  <c r="G106" i="40"/>
  <c r="I106" i="40" s="1"/>
  <c r="E107" i="40"/>
  <c r="H114" i="22"/>
  <c r="G114" i="22"/>
  <c r="I114" i="22" s="1"/>
  <c r="D115" i="22"/>
  <c r="E115" i="22"/>
  <c r="G106" i="41"/>
  <c r="I106" i="41" s="1"/>
  <c r="D107" i="41"/>
  <c r="E107" i="41"/>
  <c r="G109" i="30"/>
  <c r="I109" i="30" s="1"/>
  <c r="D110" i="30"/>
  <c r="E110" i="30"/>
  <c r="G110" i="31"/>
  <c r="I110" i="31" s="1"/>
  <c r="D111" i="31"/>
  <c r="E111" i="31"/>
  <c r="H104" i="46"/>
  <c r="G104" i="46"/>
  <c r="I104" i="46" s="1"/>
  <c r="D105" i="46"/>
  <c r="E105" i="46"/>
  <c r="G106" i="38"/>
  <c r="I106" i="38" s="1"/>
  <c r="J106" i="38" s="1"/>
  <c r="D107" i="38"/>
  <c r="E107" i="38"/>
  <c r="D113" i="24"/>
  <c r="G112" i="24"/>
  <c r="I112" i="24" s="1"/>
  <c r="J112" i="24" s="1"/>
  <c r="E113" i="24"/>
  <c r="D111" i="28"/>
  <c r="G110" i="28"/>
  <c r="I110" i="28" s="1"/>
  <c r="E111" i="28"/>
  <c r="G105" i="44"/>
  <c r="I105" i="44" s="1"/>
  <c r="J105" i="44" s="1"/>
  <c r="D106" i="44"/>
  <c r="E106" i="44"/>
  <c r="F118" i="10"/>
  <c r="H118" i="10" s="1"/>
  <c r="B118" i="10"/>
  <c r="D106" i="42"/>
  <c r="G105" i="42"/>
  <c r="I105" i="42" s="1"/>
  <c r="J105" i="42" s="1"/>
  <c r="E106" i="42"/>
  <c r="D116" i="5"/>
  <c r="G115" i="5"/>
  <c r="I115" i="5" s="1"/>
  <c r="E116" i="5"/>
  <c r="J117" i="10"/>
  <c r="H111" i="27"/>
  <c r="G111" i="27"/>
  <c r="I111" i="27" s="1"/>
  <c r="D112" i="27"/>
  <c r="E112" i="27"/>
  <c r="R135" i="2"/>
  <c r="G107" i="37"/>
  <c r="I107" i="37" s="1"/>
  <c r="J107" i="37" s="1"/>
  <c r="D108" i="37"/>
  <c r="E108" i="37"/>
  <c r="D116" i="4"/>
  <c r="G115" i="4"/>
  <c r="I115" i="4" s="1"/>
  <c r="J115" i="4" s="1"/>
  <c r="E116" i="4"/>
  <c r="H118" i="7"/>
  <c r="D119" i="7"/>
  <c r="G118" i="7"/>
  <c r="I118" i="7" s="1"/>
  <c r="E119" i="7"/>
  <c r="G116" i="8"/>
  <c r="I116" i="8" s="1"/>
  <c r="D117" i="8"/>
  <c r="E117" i="8"/>
  <c r="G116" i="6"/>
  <c r="I116" i="6" s="1"/>
  <c r="D117" i="6"/>
  <c r="E117" i="6"/>
  <c r="D118" i="11"/>
  <c r="G117" i="11"/>
  <c r="I117" i="11" s="1"/>
  <c r="J117" i="11" s="1"/>
  <c r="E118" i="11"/>
  <c r="G113" i="23"/>
  <c r="I113" i="23" s="1"/>
  <c r="J113" i="23" s="1"/>
  <c r="D114" i="23"/>
  <c r="E114" i="23"/>
  <c r="D115" i="25"/>
  <c r="G114" i="25"/>
  <c r="I114" i="25" s="1"/>
  <c r="J114" i="25" s="1"/>
  <c r="E115" i="25"/>
  <c r="H106" i="41"/>
  <c r="G107" i="39"/>
  <c r="I107" i="39" s="1"/>
  <c r="J107" i="39" s="1"/>
  <c r="D108" i="39"/>
  <c r="E108" i="39"/>
  <c r="N89" i="43"/>
  <c r="O88" i="43"/>
  <c r="O89" i="43" s="1"/>
  <c r="O88" i="42"/>
  <c r="O89" i="42" s="1"/>
  <c r="N89" i="42"/>
  <c r="H116" i="8"/>
  <c r="H106" i="40"/>
  <c r="G117" i="9"/>
  <c r="I117" i="9" s="1"/>
  <c r="J117" i="9" s="1"/>
  <c r="D118" i="9"/>
  <c r="E118" i="9"/>
  <c r="I51" i="17"/>
  <c r="G105" i="43"/>
  <c r="I105" i="43" s="1"/>
  <c r="J105" i="43" s="1"/>
  <c r="D106" i="43"/>
  <c r="E106" i="43"/>
  <c r="H109" i="30"/>
  <c r="G110" i="29"/>
  <c r="I110" i="29" s="1"/>
  <c r="D111" i="29"/>
  <c r="E111" i="29"/>
  <c r="H105" i="45"/>
  <c r="D106" i="45"/>
  <c r="G105" i="45"/>
  <c r="I105" i="45" s="1"/>
  <c r="E106" i="45"/>
  <c r="D116" i="3"/>
  <c r="G115" i="3"/>
  <c r="I115" i="3" s="1"/>
  <c r="E116" i="3"/>
  <c r="O19" i="2" l="1"/>
  <c r="O20" i="2" s="1"/>
  <c r="J104" i="46"/>
  <c r="B106" i="45"/>
  <c r="F106" i="45"/>
  <c r="F106" i="43"/>
  <c r="B106" i="43"/>
  <c r="F118" i="11"/>
  <c r="H118" i="11" s="1"/>
  <c r="B118" i="11"/>
  <c r="J118" i="7"/>
  <c r="J111" i="27"/>
  <c r="B107" i="38"/>
  <c r="F107" i="38"/>
  <c r="H107" i="38" s="1"/>
  <c r="J110" i="31"/>
  <c r="F106" i="42"/>
  <c r="H106" i="42" s="1"/>
  <c r="B106" i="42"/>
  <c r="F115" i="22"/>
  <c r="H115" i="22" s="1"/>
  <c r="B115" i="22"/>
  <c r="F115" i="25"/>
  <c r="B115" i="25"/>
  <c r="F117" i="6"/>
  <c r="H117" i="6" s="1"/>
  <c r="B117" i="6"/>
  <c r="P20" i="2"/>
  <c r="J110" i="28"/>
  <c r="J114" i="22"/>
  <c r="F111" i="28"/>
  <c r="H111" i="28" s="1"/>
  <c r="B111" i="28"/>
  <c r="B105" i="46"/>
  <c r="F105" i="46"/>
  <c r="H105" i="46" s="1"/>
  <c r="B110" i="30"/>
  <c r="F110" i="30"/>
  <c r="H110" i="30" s="1"/>
  <c r="J115" i="3"/>
  <c r="J110" i="29"/>
  <c r="B118" i="9"/>
  <c r="F118" i="9"/>
  <c r="B114" i="23"/>
  <c r="F114" i="23"/>
  <c r="H114" i="23" s="1"/>
  <c r="J109" i="30"/>
  <c r="F119" i="7"/>
  <c r="B119" i="7"/>
  <c r="B111" i="29"/>
  <c r="F111" i="29"/>
  <c r="H111" i="29" s="1"/>
  <c r="J116" i="6"/>
  <c r="F116" i="3"/>
  <c r="B116" i="3"/>
  <c r="B108" i="39"/>
  <c r="F108" i="39"/>
  <c r="H108" i="39" s="1"/>
  <c r="B117" i="8"/>
  <c r="F117" i="8"/>
  <c r="H117" i="8" s="1"/>
  <c r="B116" i="4"/>
  <c r="F116" i="4"/>
  <c r="J115" i="5"/>
  <c r="D119" i="10"/>
  <c r="G118" i="10"/>
  <c r="I118" i="10" s="1"/>
  <c r="E119" i="10"/>
  <c r="J106" i="40"/>
  <c r="B116" i="5"/>
  <c r="F116" i="5"/>
  <c r="H116" i="5" s="1"/>
  <c r="F113" i="24"/>
  <c r="H113" i="24" s="1"/>
  <c r="B113" i="24"/>
  <c r="F107" i="41"/>
  <c r="H107" i="41" s="1"/>
  <c r="B107" i="41"/>
  <c r="F107" i="40"/>
  <c r="H107" i="40" s="1"/>
  <c r="B107" i="40"/>
  <c r="J116" i="8"/>
  <c r="J105" i="45"/>
  <c r="B108" i="37"/>
  <c r="F108" i="37"/>
  <c r="F112" i="27"/>
  <c r="B112" i="27"/>
  <c r="B106" i="44"/>
  <c r="F106" i="44"/>
  <c r="H106" i="44" s="1"/>
  <c r="B111" i="31"/>
  <c r="F111" i="31"/>
  <c r="J106" i="41"/>
  <c r="D112" i="31" l="1"/>
  <c r="G111" i="31"/>
  <c r="I111" i="31" s="1"/>
  <c r="E112" i="31"/>
  <c r="G108" i="37"/>
  <c r="I108" i="37" s="1"/>
  <c r="D109" i="37"/>
  <c r="E109" i="37"/>
  <c r="D117" i="4"/>
  <c r="G116" i="4"/>
  <c r="I116" i="4" s="1"/>
  <c r="E117" i="4"/>
  <c r="D119" i="9"/>
  <c r="G118" i="9"/>
  <c r="I118" i="9" s="1"/>
  <c r="E119" i="9"/>
  <c r="G115" i="25"/>
  <c r="I115" i="25" s="1"/>
  <c r="D116" i="25"/>
  <c r="E116" i="25"/>
  <c r="H116" i="3"/>
  <c r="G116" i="3"/>
  <c r="I116" i="3" s="1"/>
  <c r="D117" i="3"/>
  <c r="E117" i="3"/>
  <c r="D120" i="7"/>
  <c r="G119" i="7"/>
  <c r="I119" i="7" s="1"/>
  <c r="E120" i="7"/>
  <c r="D106" i="46"/>
  <c r="G105" i="46"/>
  <c r="I105" i="46" s="1"/>
  <c r="J105" i="46" s="1"/>
  <c r="E106" i="46"/>
  <c r="D107" i="44"/>
  <c r="G106" i="44"/>
  <c r="I106" i="44" s="1"/>
  <c r="J106" i="44" s="1"/>
  <c r="E107" i="44"/>
  <c r="J118" i="10"/>
  <c r="D118" i="8"/>
  <c r="G117" i="8"/>
  <c r="I117" i="8" s="1"/>
  <c r="E118" i="8"/>
  <c r="D116" i="22"/>
  <c r="G115" i="22"/>
  <c r="I115" i="22" s="1"/>
  <c r="J115" i="22" s="1"/>
  <c r="E116" i="22"/>
  <c r="D108" i="38"/>
  <c r="G107" i="38"/>
  <c r="I107" i="38" s="1"/>
  <c r="J107" i="38" s="1"/>
  <c r="E108" i="38"/>
  <c r="G118" i="11"/>
  <c r="I118" i="11" s="1"/>
  <c r="J118" i="11" s="1"/>
  <c r="D119" i="11"/>
  <c r="E119" i="11"/>
  <c r="F119" i="10"/>
  <c r="H119" i="10" s="1"/>
  <c r="B119" i="10"/>
  <c r="D114" i="24"/>
  <c r="G113" i="24"/>
  <c r="I113" i="24" s="1"/>
  <c r="J113" i="24" s="1"/>
  <c r="E114" i="24"/>
  <c r="D112" i="29"/>
  <c r="G111" i="29"/>
  <c r="I111" i="29" s="1"/>
  <c r="E112" i="29"/>
  <c r="D115" i="23"/>
  <c r="G114" i="23"/>
  <c r="I114" i="23" s="1"/>
  <c r="J114" i="23" s="1"/>
  <c r="E115" i="23"/>
  <c r="D118" i="6"/>
  <c r="G117" i="6"/>
  <c r="I117" i="6" s="1"/>
  <c r="E118" i="6"/>
  <c r="H106" i="43"/>
  <c r="G106" i="43"/>
  <c r="I106" i="43" s="1"/>
  <c r="D107" i="43"/>
  <c r="E107" i="43"/>
  <c r="H112" i="27"/>
  <c r="G112" i="27"/>
  <c r="I112" i="27" s="1"/>
  <c r="D113" i="27"/>
  <c r="E113" i="27"/>
  <c r="D109" i="39"/>
  <c r="G108" i="39"/>
  <c r="I108" i="39" s="1"/>
  <c r="J108" i="39" s="1"/>
  <c r="E109" i="39"/>
  <c r="G111" i="28"/>
  <c r="I111" i="28" s="1"/>
  <c r="D112" i="28"/>
  <c r="E112" i="28"/>
  <c r="H115" i="25"/>
  <c r="G106" i="42"/>
  <c r="I106" i="42" s="1"/>
  <c r="J106" i="42" s="1"/>
  <c r="D107" i="42"/>
  <c r="E107" i="42"/>
  <c r="H106" i="45"/>
  <c r="D107" i="45"/>
  <c r="G106" i="45"/>
  <c r="I106" i="45" s="1"/>
  <c r="E107" i="45"/>
  <c r="G107" i="41"/>
  <c r="I107" i="41" s="1"/>
  <c r="J107" i="41" s="1"/>
  <c r="D108" i="41"/>
  <c r="E108" i="41"/>
  <c r="H111" i="31"/>
  <c r="H108" i="37"/>
  <c r="G107" i="40"/>
  <c r="I107" i="40" s="1"/>
  <c r="J107" i="40" s="1"/>
  <c r="D108" i="40"/>
  <c r="E108" i="40"/>
  <c r="G116" i="5"/>
  <c r="I116" i="5" s="1"/>
  <c r="D117" i="5"/>
  <c r="E117" i="5"/>
  <c r="H116" i="4"/>
  <c r="H119" i="7"/>
  <c r="H118" i="9"/>
  <c r="G110" i="30"/>
  <c r="I110" i="30" s="1"/>
  <c r="D111" i="30"/>
  <c r="E111" i="30"/>
  <c r="J106" i="45" l="1"/>
  <c r="J106" i="43"/>
  <c r="J116" i="5"/>
  <c r="F113" i="27"/>
  <c r="B113" i="27"/>
  <c r="J117" i="6"/>
  <c r="J117" i="8"/>
  <c r="J116" i="4"/>
  <c r="B111" i="30"/>
  <c r="F111" i="30"/>
  <c r="H111" i="30" s="1"/>
  <c r="J112" i="27"/>
  <c r="F118" i="8"/>
  <c r="B118" i="8"/>
  <c r="F117" i="4"/>
  <c r="H117" i="4" s="1"/>
  <c r="B117" i="4"/>
  <c r="J119" i="7"/>
  <c r="J115" i="25"/>
  <c r="B109" i="37"/>
  <c r="F109" i="37"/>
  <c r="B107" i="43"/>
  <c r="F107" i="43"/>
  <c r="H107" i="43" s="1"/>
  <c r="F115" i="23"/>
  <c r="H115" i="23" s="1"/>
  <c r="B115" i="23"/>
  <c r="F120" i="7"/>
  <c r="B120" i="7"/>
  <c r="J108" i="37"/>
  <c r="F118" i="6"/>
  <c r="H118" i="6" s="1"/>
  <c r="B118" i="6"/>
  <c r="F106" i="46"/>
  <c r="H106" i="46" s="1"/>
  <c r="B106" i="46"/>
  <c r="F108" i="40"/>
  <c r="H108" i="40" s="1"/>
  <c r="B108" i="40"/>
  <c r="F107" i="45"/>
  <c r="B107" i="45"/>
  <c r="B108" i="38"/>
  <c r="F108" i="38"/>
  <c r="J118" i="9"/>
  <c r="B112" i="28"/>
  <c r="F112" i="28"/>
  <c r="H112" i="28" s="1"/>
  <c r="F114" i="24"/>
  <c r="H114" i="24" s="1"/>
  <c r="B114" i="24"/>
  <c r="J111" i="28"/>
  <c r="G119" i="10"/>
  <c r="I119" i="10" s="1"/>
  <c r="D120" i="10"/>
  <c r="E120" i="10"/>
  <c r="F107" i="42"/>
  <c r="H107" i="42" s="1"/>
  <c r="B107" i="42"/>
  <c r="B109" i="39"/>
  <c r="F109" i="39"/>
  <c r="J111" i="29"/>
  <c r="B116" i="22"/>
  <c r="F116" i="22"/>
  <c r="F107" i="44"/>
  <c r="H107" i="44" s="1"/>
  <c r="B107" i="44"/>
  <c r="F117" i="3"/>
  <c r="H117" i="3" s="1"/>
  <c r="B117" i="3"/>
  <c r="B119" i="9"/>
  <c r="F119" i="9"/>
  <c r="H119" i="9" s="1"/>
  <c r="J111" i="31"/>
  <c r="J110" i="30"/>
  <c r="F116" i="25"/>
  <c r="H116" i="25" s="1"/>
  <c r="B116" i="25"/>
  <c r="F117" i="5"/>
  <c r="B117" i="5"/>
  <c r="B108" i="41"/>
  <c r="F108" i="41"/>
  <c r="H108" i="41" s="1"/>
  <c r="B112" i="29"/>
  <c r="F112" i="29"/>
  <c r="F119" i="11"/>
  <c r="H119" i="11" s="1"/>
  <c r="B119" i="11"/>
  <c r="J116" i="3"/>
  <c r="F112" i="31"/>
  <c r="H112" i="31" s="1"/>
  <c r="B112" i="31"/>
  <c r="D110" i="37" l="1"/>
  <c r="G109" i="37"/>
  <c r="I109" i="37" s="1"/>
  <c r="E110" i="37"/>
  <c r="G107" i="44"/>
  <c r="I107" i="44" s="1"/>
  <c r="J107" i="44" s="1"/>
  <c r="D108" i="44"/>
  <c r="E108" i="44"/>
  <c r="G106" i="46"/>
  <c r="I106" i="46" s="1"/>
  <c r="J106" i="46" s="1"/>
  <c r="D107" i="46"/>
  <c r="E107" i="46"/>
  <c r="H117" i="5"/>
  <c r="G117" i="5"/>
  <c r="I117" i="5" s="1"/>
  <c r="D118" i="5"/>
  <c r="E118" i="5"/>
  <c r="D120" i="9"/>
  <c r="G119" i="9"/>
  <c r="I119" i="9" s="1"/>
  <c r="J119" i="9" s="1"/>
  <c r="E120" i="9"/>
  <c r="H116" i="22"/>
  <c r="D117" i="22"/>
  <c r="G116" i="22"/>
  <c r="I116" i="22" s="1"/>
  <c r="J116" i="22" s="1"/>
  <c r="E117" i="22"/>
  <c r="G115" i="23"/>
  <c r="I115" i="23" s="1"/>
  <c r="J115" i="23" s="1"/>
  <c r="D116" i="23"/>
  <c r="E116" i="23"/>
  <c r="G112" i="29"/>
  <c r="I112" i="29" s="1"/>
  <c r="D113" i="29"/>
  <c r="E113" i="29"/>
  <c r="G107" i="42"/>
  <c r="I107" i="42" s="1"/>
  <c r="J107" i="42" s="1"/>
  <c r="D108" i="42"/>
  <c r="E108" i="42"/>
  <c r="D115" i="24"/>
  <c r="G114" i="24"/>
  <c r="I114" i="24" s="1"/>
  <c r="J114" i="24" s="1"/>
  <c r="E115" i="24"/>
  <c r="H107" i="45"/>
  <c r="D108" i="45"/>
  <c r="G107" i="45"/>
  <c r="I107" i="45" s="1"/>
  <c r="E108" i="45"/>
  <c r="G109" i="39"/>
  <c r="I109" i="39" s="1"/>
  <c r="D110" i="39"/>
  <c r="E110" i="39"/>
  <c r="G119" i="11"/>
  <c r="I119" i="11" s="1"/>
  <c r="J119" i="11" s="1"/>
  <c r="D120" i="11"/>
  <c r="E120" i="11"/>
  <c r="G116" i="25"/>
  <c r="I116" i="25" s="1"/>
  <c r="J116" i="25" s="1"/>
  <c r="D117" i="25"/>
  <c r="E117" i="25"/>
  <c r="G118" i="6"/>
  <c r="I118" i="6" s="1"/>
  <c r="D119" i="6"/>
  <c r="E119" i="6"/>
  <c r="G107" i="43"/>
  <c r="I107" i="43" s="1"/>
  <c r="J107" i="43" s="1"/>
  <c r="D108" i="43"/>
  <c r="E108" i="43"/>
  <c r="D112" i="30"/>
  <c r="G111" i="30"/>
  <c r="I111" i="30" s="1"/>
  <c r="E112" i="30"/>
  <c r="H113" i="27"/>
  <c r="G113" i="27"/>
  <c r="I113" i="27" s="1"/>
  <c r="D114" i="27"/>
  <c r="E114" i="27"/>
  <c r="H120" i="7"/>
  <c r="G120" i="7"/>
  <c r="I120" i="7" s="1"/>
  <c r="D121" i="7"/>
  <c r="E121" i="7"/>
  <c r="F120" i="10"/>
  <c r="B120" i="10"/>
  <c r="D113" i="28"/>
  <c r="G112" i="28"/>
  <c r="I112" i="28" s="1"/>
  <c r="E113" i="28"/>
  <c r="H108" i="38"/>
  <c r="G108" i="38"/>
  <c r="I108" i="38" s="1"/>
  <c r="D109" i="38"/>
  <c r="E109" i="38"/>
  <c r="H118" i="8"/>
  <c r="G118" i="8"/>
  <c r="I118" i="8" s="1"/>
  <c r="D119" i="8"/>
  <c r="E119" i="8"/>
  <c r="H112" i="29"/>
  <c r="G112" i="31"/>
  <c r="I112" i="31" s="1"/>
  <c r="D113" i="31"/>
  <c r="E113" i="31"/>
  <c r="G108" i="41"/>
  <c r="I108" i="41" s="1"/>
  <c r="J108" i="41" s="1"/>
  <c r="D109" i="41"/>
  <c r="E109" i="41"/>
  <c r="G117" i="3"/>
  <c r="I117" i="3" s="1"/>
  <c r="D118" i="3"/>
  <c r="E118" i="3"/>
  <c r="H109" i="39"/>
  <c r="J119" i="10"/>
  <c r="D109" i="40"/>
  <c r="G108" i="40"/>
  <c r="I108" i="40" s="1"/>
  <c r="J108" i="40" s="1"/>
  <c r="E109" i="40"/>
  <c r="H109" i="37"/>
  <c r="D118" i="4"/>
  <c r="G117" i="4"/>
  <c r="I117" i="4" s="1"/>
  <c r="J117" i="4" s="1"/>
  <c r="E118" i="4"/>
  <c r="J107" i="45" l="1"/>
  <c r="J112" i="29"/>
  <c r="B118" i="4"/>
  <c r="F118" i="4"/>
  <c r="H118" i="4" s="1"/>
  <c r="J112" i="31"/>
  <c r="J108" i="38"/>
  <c r="J118" i="6"/>
  <c r="B110" i="39"/>
  <c r="F110" i="39"/>
  <c r="H110" i="39" s="1"/>
  <c r="B115" i="24"/>
  <c r="F115" i="24"/>
  <c r="H115" i="24" s="1"/>
  <c r="B116" i="23"/>
  <c r="F116" i="23"/>
  <c r="H116" i="23" s="1"/>
  <c r="B120" i="9"/>
  <c r="F120" i="9"/>
  <c r="H120" i="9" s="1"/>
  <c r="J113" i="27"/>
  <c r="J109" i="39"/>
  <c r="B108" i="44"/>
  <c r="F108" i="44"/>
  <c r="H108" i="44" s="1"/>
  <c r="B107" i="46"/>
  <c r="F107" i="46"/>
  <c r="G120" i="10"/>
  <c r="I120" i="10" s="1"/>
  <c r="D121" i="10"/>
  <c r="E121" i="10"/>
  <c r="J117" i="3"/>
  <c r="J120" i="7"/>
  <c r="F112" i="30"/>
  <c r="H112" i="30" s="1"/>
  <c r="B112" i="30"/>
  <c r="B117" i="25"/>
  <c r="F117" i="25"/>
  <c r="H117" i="25" s="1"/>
  <c r="F108" i="42"/>
  <c r="H108" i="42" s="1"/>
  <c r="B108" i="42"/>
  <c r="F118" i="5"/>
  <c r="B118" i="5"/>
  <c r="F119" i="6"/>
  <c r="H119" i="6" s="1"/>
  <c r="B119" i="6"/>
  <c r="B121" i="7"/>
  <c r="F121" i="7"/>
  <c r="H121" i="7" s="1"/>
  <c r="B119" i="8"/>
  <c r="F119" i="8"/>
  <c r="H119" i="8" s="1"/>
  <c r="J112" i="28"/>
  <c r="J117" i="5"/>
  <c r="B118" i="3"/>
  <c r="F118" i="3"/>
  <c r="B109" i="41"/>
  <c r="F109" i="41"/>
  <c r="H109" i="41" s="1"/>
  <c r="J118" i="8"/>
  <c r="F113" i="28"/>
  <c r="B113" i="28"/>
  <c r="B108" i="43"/>
  <c r="F108" i="43"/>
  <c r="H108" i="43" s="1"/>
  <c r="B108" i="45"/>
  <c r="F108" i="45"/>
  <c r="H108" i="45" s="1"/>
  <c r="B117" i="22"/>
  <c r="F117" i="22"/>
  <c r="H117" i="22" s="1"/>
  <c r="J109" i="37"/>
  <c r="F113" i="31"/>
  <c r="H113" i="31" s="1"/>
  <c r="B113" i="31"/>
  <c r="F109" i="38"/>
  <c r="B109" i="38"/>
  <c r="J111" i="30"/>
  <c r="F109" i="40"/>
  <c r="H109" i="40" s="1"/>
  <c r="B109" i="40"/>
  <c r="H120" i="10"/>
  <c r="F114" i="27"/>
  <c r="B114" i="27"/>
  <c r="B120" i="11"/>
  <c r="F120" i="11"/>
  <c r="H120" i="11" s="1"/>
  <c r="B113" i="29"/>
  <c r="F113" i="29"/>
  <c r="F110" i="37"/>
  <c r="B110" i="37"/>
  <c r="D115" i="27" l="1"/>
  <c r="G114" i="27"/>
  <c r="I114" i="27" s="1"/>
  <c r="E115" i="27"/>
  <c r="D114" i="28"/>
  <c r="G113" i="28"/>
  <c r="I113" i="28" s="1"/>
  <c r="E114" i="28"/>
  <c r="D122" i="7"/>
  <c r="G121" i="7"/>
  <c r="I121" i="7" s="1"/>
  <c r="J121" i="7" s="1"/>
  <c r="E122" i="7"/>
  <c r="G112" i="30"/>
  <c r="I112" i="30" s="1"/>
  <c r="J112" i="30" s="1"/>
  <c r="D113" i="30"/>
  <c r="E113" i="30"/>
  <c r="H107" i="46"/>
  <c r="D108" i="46"/>
  <c r="G107" i="46"/>
  <c r="I107" i="46" s="1"/>
  <c r="E108" i="46"/>
  <c r="D114" i="29"/>
  <c r="G113" i="29"/>
  <c r="I113" i="29" s="1"/>
  <c r="E114" i="29"/>
  <c r="G120" i="9"/>
  <c r="I120" i="9" s="1"/>
  <c r="J120" i="9" s="1"/>
  <c r="D121" i="9"/>
  <c r="E121" i="9"/>
  <c r="D110" i="38"/>
  <c r="G109" i="38"/>
  <c r="I109" i="38" s="1"/>
  <c r="E110" i="38"/>
  <c r="G108" i="42"/>
  <c r="I108" i="42" s="1"/>
  <c r="J108" i="42" s="1"/>
  <c r="D109" i="42"/>
  <c r="E109" i="42"/>
  <c r="D111" i="39"/>
  <c r="G110" i="39"/>
  <c r="I110" i="39" s="1"/>
  <c r="J110" i="39" s="1"/>
  <c r="E111" i="39"/>
  <c r="D119" i="4"/>
  <c r="G118" i="4"/>
  <c r="I118" i="4" s="1"/>
  <c r="J118" i="4" s="1"/>
  <c r="E119" i="4"/>
  <c r="H113" i="29"/>
  <c r="D119" i="5"/>
  <c r="G118" i="5"/>
  <c r="I118" i="5" s="1"/>
  <c r="E119" i="5"/>
  <c r="G109" i="41"/>
  <c r="I109" i="41" s="1"/>
  <c r="J109" i="41" s="1"/>
  <c r="D110" i="41"/>
  <c r="E110" i="41"/>
  <c r="G108" i="44"/>
  <c r="I108" i="44" s="1"/>
  <c r="J108" i="44" s="1"/>
  <c r="D109" i="44"/>
  <c r="E109" i="44"/>
  <c r="D116" i="24"/>
  <c r="G115" i="24"/>
  <c r="I115" i="24" s="1"/>
  <c r="J115" i="24" s="1"/>
  <c r="E116" i="24"/>
  <c r="D109" i="45"/>
  <c r="G108" i="45"/>
  <c r="I108" i="45" s="1"/>
  <c r="J108" i="45" s="1"/>
  <c r="E109" i="45"/>
  <c r="G113" i="31"/>
  <c r="I113" i="31" s="1"/>
  <c r="J113" i="31" s="1"/>
  <c r="D114" i="31"/>
  <c r="E114" i="31"/>
  <c r="G108" i="43"/>
  <c r="I108" i="43" s="1"/>
  <c r="J108" i="43" s="1"/>
  <c r="D109" i="43"/>
  <c r="E109" i="43"/>
  <c r="H114" i="27"/>
  <c r="G119" i="6"/>
  <c r="I119" i="6" s="1"/>
  <c r="J119" i="6" s="1"/>
  <c r="D120" i="6"/>
  <c r="E120" i="6"/>
  <c r="D118" i="25"/>
  <c r="G117" i="25"/>
  <c r="I117" i="25" s="1"/>
  <c r="J117" i="25" s="1"/>
  <c r="E118" i="25"/>
  <c r="G116" i="23"/>
  <c r="I116" i="23" s="1"/>
  <c r="J116" i="23" s="1"/>
  <c r="D117" i="23"/>
  <c r="E117" i="23"/>
  <c r="D119" i="3"/>
  <c r="G118" i="3"/>
  <c r="I118" i="3" s="1"/>
  <c r="E119" i="3"/>
  <c r="F121" i="10"/>
  <c r="B121" i="10"/>
  <c r="J120" i="10"/>
  <c r="G120" i="11"/>
  <c r="I120" i="11" s="1"/>
  <c r="J120" i="11" s="1"/>
  <c r="D121" i="11"/>
  <c r="E121" i="11"/>
  <c r="D110" i="40"/>
  <c r="G109" i="40"/>
  <c r="I109" i="40" s="1"/>
  <c r="J109" i="40" s="1"/>
  <c r="E110" i="40"/>
  <c r="H110" i="37"/>
  <c r="D111" i="37"/>
  <c r="G110" i="37"/>
  <c r="I110" i="37" s="1"/>
  <c r="E111" i="37"/>
  <c r="H109" i="38"/>
  <c r="D118" i="22"/>
  <c r="G117" i="22"/>
  <c r="I117" i="22" s="1"/>
  <c r="J117" i="22" s="1"/>
  <c r="E118" i="22"/>
  <c r="H113" i="28"/>
  <c r="H118" i="3"/>
  <c r="D120" i="8"/>
  <c r="G119" i="8"/>
  <c r="I119" i="8" s="1"/>
  <c r="J119" i="8" s="1"/>
  <c r="E120" i="8"/>
  <c r="H118" i="5"/>
  <c r="J109" i="38" l="1"/>
  <c r="J107" i="46"/>
  <c r="J118" i="3"/>
  <c r="B122" i="7"/>
  <c r="F122" i="7"/>
  <c r="H122" i="7" s="1"/>
  <c r="H121" i="10"/>
  <c r="G121" i="10"/>
  <c r="I121" i="10" s="1"/>
  <c r="D122" i="10"/>
  <c r="E122" i="10"/>
  <c r="B108" i="46"/>
  <c r="F108" i="46"/>
  <c r="H108" i="46" s="1"/>
  <c r="B110" i="41"/>
  <c r="F110" i="41"/>
  <c r="H110" i="41" s="1"/>
  <c r="F118" i="22"/>
  <c r="H118" i="22" s="1"/>
  <c r="B118" i="22"/>
  <c r="F110" i="40"/>
  <c r="H110" i="40" s="1"/>
  <c r="B110" i="40"/>
  <c r="F118" i="25"/>
  <c r="H118" i="25" s="1"/>
  <c r="B118" i="25"/>
  <c r="F116" i="24"/>
  <c r="B116" i="24"/>
  <c r="J118" i="5"/>
  <c r="F111" i="39"/>
  <c r="H111" i="39" s="1"/>
  <c r="B111" i="39"/>
  <c r="B121" i="9"/>
  <c r="F121" i="9"/>
  <c r="J113" i="28"/>
  <c r="F119" i="5"/>
  <c r="H119" i="5" s="1"/>
  <c r="B119" i="5"/>
  <c r="B114" i="28"/>
  <c r="F114" i="28"/>
  <c r="H114" i="28" s="1"/>
  <c r="F109" i="43"/>
  <c r="B109" i="43"/>
  <c r="B121" i="11"/>
  <c r="F121" i="11"/>
  <c r="H121" i="11" s="1"/>
  <c r="B119" i="3"/>
  <c r="F119" i="3"/>
  <c r="H119" i="3" s="1"/>
  <c r="B120" i="6"/>
  <c r="F120" i="6"/>
  <c r="H120" i="6" s="1"/>
  <c r="B109" i="44"/>
  <c r="F109" i="44"/>
  <c r="H109" i="44" s="1"/>
  <c r="F109" i="42"/>
  <c r="H109" i="42" s="1"/>
  <c r="B109" i="42"/>
  <c r="F113" i="30"/>
  <c r="H113" i="30" s="1"/>
  <c r="B113" i="30"/>
  <c r="B119" i="4"/>
  <c r="F119" i="4"/>
  <c r="H119" i="4" s="1"/>
  <c r="B110" i="38"/>
  <c r="F110" i="38"/>
  <c r="J110" i="37"/>
  <c r="J113" i="29"/>
  <c r="J114" i="27"/>
  <c r="B109" i="45"/>
  <c r="F109" i="45"/>
  <c r="B114" i="31"/>
  <c r="F114" i="31"/>
  <c r="F120" i="8"/>
  <c r="H120" i="8" s="1"/>
  <c r="B120" i="8"/>
  <c r="F111" i="37"/>
  <c r="H111" i="37" s="1"/>
  <c r="B111" i="37"/>
  <c r="F117" i="23"/>
  <c r="B117" i="23"/>
  <c r="B114" i="29"/>
  <c r="F114" i="29"/>
  <c r="H114" i="29" s="1"/>
  <c r="B115" i="27"/>
  <c r="F115" i="27"/>
  <c r="H115" i="27" s="1"/>
  <c r="D115" i="31" l="1"/>
  <c r="G114" i="31"/>
  <c r="I114" i="31" s="1"/>
  <c r="E115" i="31"/>
  <c r="G116" i="24"/>
  <c r="I116" i="24" s="1"/>
  <c r="D117" i="24"/>
  <c r="E117" i="24"/>
  <c r="D116" i="27"/>
  <c r="G115" i="27"/>
  <c r="I115" i="27" s="1"/>
  <c r="J115" i="27" s="1"/>
  <c r="E116" i="27"/>
  <c r="G119" i="3"/>
  <c r="I119" i="3" s="1"/>
  <c r="J119" i="3" s="1"/>
  <c r="D120" i="3"/>
  <c r="E120" i="3"/>
  <c r="H114" i="31"/>
  <c r="H110" i="38"/>
  <c r="G110" i="38"/>
  <c r="I110" i="38" s="1"/>
  <c r="D111" i="38"/>
  <c r="E111" i="38"/>
  <c r="H121" i="9"/>
  <c r="D122" i="9"/>
  <c r="G121" i="9"/>
  <c r="I121" i="9" s="1"/>
  <c r="E122" i="9"/>
  <c r="D110" i="42"/>
  <c r="G109" i="42"/>
  <c r="I109" i="42" s="1"/>
  <c r="J109" i="42" s="1"/>
  <c r="E110" i="42"/>
  <c r="J121" i="10"/>
  <c r="G109" i="43"/>
  <c r="I109" i="43" s="1"/>
  <c r="D110" i="43"/>
  <c r="E110" i="43"/>
  <c r="G111" i="37"/>
  <c r="I111" i="37" s="1"/>
  <c r="J111" i="37" s="1"/>
  <c r="D112" i="37"/>
  <c r="E112" i="37"/>
  <c r="G110" i="41"/>
  <c r="I110" i="41" s="1"/>
  <c r="J110" i="41" s="1"/>
  <c r="D111" i="41"/>
  <c r="E111" i="41"/>
  <c r="H109" i="45"/>
  <c r="G109" i="45"/>
  <c r="I109" i="45" s="1"/>
  <c r="D110" i="45"/>
  <c r="E110" i="45"/>
  <c r="D122" i="11"/>
  <c r="G121" i="11"/>
  <c r="I121" i="11" s="1"/>
  <c r="J121" i="11" s="1"/>
  <c r="E122" i="11"/>
  <c r="G111" i="39"/>
  <c r="I111" i="39" s="1"/>
  <c r="J111" i="39" s="1"/>
  <c r="D112" i="39"/>
  <c r="E112" i="39"/>
  <c r="B122" i="10"/>
  <c r="F122" i="10"/>
  <c r="H122" i="10" s="1"/>
  <c r="D110" i="44"/>
  <c r="G109" i="44"/>
  <c r="I109" i="44" s="1"/>
  <c r="J109" i="44" s="1"/>
  <c r="E110" i="44"/>
  <c r="G114" i="29"/>
  <c r="I114" i="29" s="1"/>
  <c r="J114" i="29" s="1"/>
  <c r="D115" i="29"/>
  <c r="E115" i="29"/>
  <c r="G122" i="7"/>
  <c r="I122" i="7" s="1"/>
  <c r="J122" i="7" s="1"/>
  <c r="D123" i="7"/>
  <c r="E123" i="7"/>
  <c r="D118" i="23"/>
  <c r="G117" i="23"/>
  <c r="I117" i="23" s="1"/>
  <c r="E118" i="23"/>
  <c r="D119" i="22"/>
  <c r="G118" i="22"/>
  <c r="I118" i="22" s="1"/>
  <c r="J118" i="22" s="1"/>
  <c r="E119" i="22"/>
  <c r="D120" i="4"/>
  <c r="G119" i="4"/>
  <c r="I119" i="4" s="1"/>
  <c r="J119" i="4" s="1"/>
  <c r="E120" i="4"/>
  <c r="G114" i="28"/>
  <c r="I114" i="28" s="1"/>
  <c r="J114" i="28" s="1"/>
  <c r="D115" i="28"/>
  <c r="E115" i="28"/>
  <c r="D119" i="25"/>
  <c r="G118" i="25"/>
  <c r="I118" i="25" s="1"/>
  <c r="J118" i="25" s="1"/>
  <c r="E119" i="25"/>
  <c r="H117" i="23"/>
  <c r="D121" i="8"/>
  <c r="G120" i="8"/>
  <c r="I120" i="8" s="1"/>
  <c r="J120" i="8" s="1"/>
  <c r="E121" i="8"/>
  <c r="G113" i="30"/>
  <c r="I113" i="30" s="1"/>
  <c r="J113" i="30" s="1"/>
  <c r="D114" i="30"/>
  <c r="E114" i="30"/>
  <c r="D121" i="6"/>
  <c r="G120" i="6"/>
  <c r="I120" i="6" s="1"/>
  <c r="J120" i="6" s="1"/>
  <c r="E121" i="6"/>
  <c r="H109" i="43"/>
  <c r="D120" i="5"/>
  <c r="G119" i="5"/>
  <c r="I119" i="5" s="1"/>
  <c r="J119" i="5" s="1"/>
  <c r="E120" i="5"/>
  <c r="H116" i="24"/>
  <c r="D111" i="40"/>
  <c r="G110" i="40"/>
  <c r="I110" i="40" s="1"/>
  <c r="J110" i="40" s="1"/>
  <c r="E111" i="40"/>
  <c r="G108" i="46"/>
  <c r="I108" i="46" s="1"/>
  <c r="J108" i="46" s="1"/>
  <c r="D109" i="46"/>
  <c r="E109" i="46"/>
  <c r="J110" i="38" l="1"/>
  <c r="J121" i="9"/>
  <c r="J109" i="45"/>
  <c r="F121" i="6"/>
  <c r="B121" i="6"/>
  <c r="F122" i="11"/>
  <c r="B122" i="11"/>
  <c r="B116" i="27"/>
  <c r="F116" i="27"/>
  <c r="H116" i="27" s="1"/>
  <c r="G122" i="10"/>
  <c r="I122" i="10" s="1"/>
  <c r="J122" i="10" s="1"/>
  <c r="D123" i="10"/>
  <c r="E123" i="10"/>
  <c r="F112" i="37"/>
  <c r="B112" i="37"/>
  <c r="B110" i="42"/>
  <c r="F110" i="42"/>
  <c r="H110" i="42" s="1"/>
  <c r="B120" i="4"/>
  <c r="F120" i="4"/>
  <c r="H120" i="4" s="1"/>
  <c r="B114" i="30"/>
  <c r="F114" i="30"/>
  <c r="H114" i="30" s="1"/>
  <c r="B119" i="25"/>
  <c r="F119" i="25"/>
  <c r="H119" i="25" s="1"/>
  <c r="F110" i="45"/>
  <c r="H110" i="45" s="1"/>
  <c r="B110" i="45"/>
  <c r="F117" i="24"/>
  <c r="H117" i="24" s="1"/>
  <c r="B117" i="24"/>
  <c r="F110" i="44"/>
  <c r="B110" i="44"/>
  <c r="J116" i="24"/>
  <c r="B111" i="40"/>
  <c r="F111" i="40"/>
  <c r="H111" i="40" s="1"/>
  <c r="F119" i="22"/>
  <c r="H119" i="22" s="1"/>
  <c r="B119" i="22"/>
  <c r="F120" i="5"/>
  <c r="H120" i="5" s="1"/>
  <c r="B120" i="5"/>
  <c r="F112" i="39"/>
  <c r="B112" i="39"/>
  <c r="B110" i="43"/>
  <c r="F110" i="43"/>
  <c r="H110" i="43" s="1"/>
  <c r="B122" i="9"/>
  <c r="F122" i="9"/>
  <c r="H122" i="9" s="1"/>
  <c r="B120" i="3"/>
  <c r="F120" i="3"/>
  <c r="H120" i="3" s="1"/>
  <c r="B111" i="38"/>
  <c r="F111" i="38"/>
  <c r="B123" i="7"/>
  <c r="F123" i="7"/>
  <c r="F109" i="46"/>
  <c r="B109" i="46"/>
  <c r="J117" i="23"/>
  <c r="J109" i="43"/>
  <c r="J114" i="31"/>
  <c r="F115" i="29"/>
  <c r="B115" i="29"/>
  <c r="B115" i="28"/>
  <c r="F115" i="28"/>
  <c r="H115" i="28" s="1"/>
  <c r="F121" i="8"/>
  <c r="H121" i="8" s="1"/>
  <c r="B121" i="8"/>
  <c r="F118" i="23"/>
  <c r="H118" i="23" s="1"/>
  <c r="B118" i="23"/>
  <c r="B111" i="41"/>
  <c r="F111" i="41"/>
  <c r="H111" i="41" s="1"/>
  <c r="B115" i="31"/>
  <c r="F115" i="31"/>
  <c r="H111" i="38" l="1"/>
  <c r="D112" i="38"/>
  <c r="G111" i="38"/>
  <c r="I111" i="38" s="1"/>
  <c r="E112" i="38"/>
  <c r="G110" i="44"/>
  <c r="I110" i="44" s="1"/>
  <c r="D111" i="44"/>
  <c r="E111" i="44"/>
  <c r="G121" i="8"/>
  <c r="I121" i="8" s="1"/>
  <c r="J121" i="8" s="1"/>
  <c r="D122" i="8"/>
  <c r="E122" i="8"/>
  <c r="G119" i="22"/>
  <c r="I119" i="22" s="1"/>
  <c r="J119" i="22" s="1"/>
  <c r="D120" i="22"/>
  <c r="E120" i="22"/>
  <c r="G110" i="42"/>
  <c r="I110" i="42" s="1"/>
  <c r="J110" i="42" s="1"/>
  <c r="D111" i="42"/>
  <c r="E111" i="42"/>
  <c r="G116" i="27"/>
  <c r="I116" i="27" s="1"/>
  <c r="J116" i="27" s="1"/>
  <c r="D117" i="27"/>
  <c r="E117" i="27"/>
  <c r="D120" i="25"/>
  <c r="G119" i="25"/>
  <c r="I119" i="25" s="1"/>
  <c r="J119" i="25" s="1"/>
  <c r="E120" i="25"/>
  <c r="D112" i="41"/>
  <c r="G111" i="41"/>
  <c r="I111" i="41" s="1"/>
  <c r="J111" i="41" s="1"/>
  <c r="E112" i="41"/>
  <c r="D121" i="3"/>
  <c r="G120" i="3"/>
  <c r="I120" i="3" s="1"/>
  <c r="J120" i="3" s="1"/>
  <c r="E121" i="3"/>
  <c r="D116" i="28"/>
  <c r="G115" i="28"/>
  <c r="I115" i="28" s="1"/>
  <c r="J115" i="28" s="1"/>
  <c r="E116" i="28"/>
  <c r="H112" i="39"/>
  <c r="G112" i="39"/>
  <c r="I112" i="39" s="1"/>
  <c r="D113" i="39"/>
  <c r="E113" i="39"/>
  <c r="D112" i="40"/>
  <c r="G111" i="40"/>
  <c r="I111" i="40" s="1"/>
  <c r="J111" i="40" s="1"/>
  <c r="E112" i="40"/>
  <c r="G117" i="24"/>
  <c r="I117" i="24" s="1"/>
  <c r="J117" i="24" s="1"/>
  <c r="D118" i="24"/>
  <c r="E118" i="24"/>
  <c r="G114" i="30"/>
  <c r="I114" i="30" s="1"/>
  <c r="J114" i="30" s="1"/>
  <c r="D115" i="30"/>
  <c r="E115" i="30"/>
  <c r="G110" i="43"/>
  <c r="I110" i="43" s="1"/>
  <c r="J110" i="43" s="1"/>
  <c r="D111" i="43"/>
  <c r="E111" i="43"/>
  <c r="H109" i="46"/>
  <c r="G109" i="46"/>
  <c r="I109" i="46" s="1"/>
  <c r="D110" i="46"/>
  <c r="E110" i="46"/>
  <c r="H112" i="37"/>
  <c r="D113" i="37"/>
  <c r="G112" i="37"/>
  <c r="I112" i="37" s="1"/>
  <c r="E113" i="37"/>
  <c r="H122" i="11"/>
  <c r="G122" i="11"/>
  <c r="I122" i="11" s="1"/>
  <c r="D123" i="11"/>
  <c r="E123" i="11"/>
  <c r="D116" i="31"/>
  <c r="G115" i="31"/>
  <c r="I115" i="31" s="1"/>
  <c r="E116" i="31"/>
  <c r="G115" i="29"/>
  <c r="I115" i="29" s="1"/>
  <c r="D116" i="29"/>
  <c r="E116" i="29"/>
  <c r="H115" i="29"/>
  <c r="H123" i="7"/>
  <c r="D124" i="7"/>
  <c r="G123" i="7"/>
  <c r="I123" i="7" s="1"/>
  <c r="E124" i="7"/>
  <c r="G122" i="9"/>
  <c r="I122" i="9" s="1"/>
  <c r="J122" i="9" s="1"/>
  <c r="D123" i="9"/>
  <c r="E123" i="9"/>
  <c r="H115" i="31"/>
  <c r="G118" i="23"/>
  <c r="I118" i="23" s="1"/>
  <c r="J118" i="23" s="1"/>
  <c r="D119" i="23"/>
  <c r="E119" i="23"/>
  <c r="D121" i="5"/>
  <c r="G120" i="5"/>
  <c r="I120" i="5" s="1"/>
  <c r="J120" i="5" s="1"/>
  <c r="E121" i="5"/>
  <c r="H110" i="44"/>
  <c r="D111" i="45"/>
  <c r="G110" i="45"/>
  <c r="I110" i="45" s="1"/>
  <c r="J110" i="45" s="1"/>
  <c r="E111" i="45"/>
  <c r="G120" i="4"/>
  <c r="I120" i="4" s="1"/>
  <c r="J120" i="4" s="1"/>
  <c r="D121" i="4"/>
  <c r="E121" i="4"/>
  <c r="F123" i="10"/>
  <c r="B123" i="10"/>
  <c r="H121" i="6"/>
  <c r="D122" i="6"/>
  <c r="G121" i="6"/>
  <c r="I121" i="6" s="1"/>
  <c r="E122" i="6"/>
  <c r="J111" i="38" l="1"/>
  <c r="J115" i="29"/>
  <c r="J112" i="37"/>
  <c r="J115" i="31"/>
  <c r="J121" i="6"/>
  <c r="F112" i="41"/>
  <c r="H112" i="41" s="1"/>
  <c r="B112" i="41"/>
  <c r="B121" i="4"/>
  <c r="F121" i="4"/>
  <c r="H121" i="4" s="1"/>
  <c r="F121" i="5"/>
  <c r="B121" i="5"/>
  <c r="B111" i="43"/>
  <c r="F111" i="43"/>
  <c r="H111" i="43" s="1"/>
  <c r="F111" i="44"/>
  <c r="H111" i="44" s="1"/>
  <c r="B111" i="44"/>
  <c r="J123" i="7"/>
  <c r="B113" i="37"/>
  <c r="F113" i="37"/>
  <c r="H113" i="37" s="1"/>
  <c r="F116" i="28"/>
  <c r="H116" i="28" s="1"/>
  <c r="B116" i="28"/>
  <c r="J110" i="44"/>
  <c r="F123" i="9"/>
  <c r="B123" i="9"/>
  <c r="F118" i="24"/>
  <c r="H118" i="24" s="1"/>
  <c r="B118" i="24"/>
  <c r="B119" i="23"/>
  <c r="F119" i="23"/>
  <c r="H119" i="23" s="1"/>
  <c r="F124" i="7"/>
  <c r="H124" i="7" s="1"/>
  <c r="B124" i="7"/>
  <c r="B116" i="31"/>
  <c r="F116" i="31"/>
  <c r="H116" i="31" s="1"/>
  <c r="F112" i="40"/>
  <c r="B112" i="40"/>
  <c r="B120" i="25"/>
  <c r="F120" i="25"/>
  <c r="H120" i="25" s="1"/>
  <c r="F120" i="22"/>
  <c r="H120" i="22" s="1"/>
  <c r="B120" i="22"/>
  <c r="B111" i="42"/>
  <c r="F111" i="42"/>
  <c r="B122" i="6"/>
  <c r="F122" i="6"/>
  <c r="H122" i="6" s="1"/>
  <c r="F115" i="30"/>
  <c r="H115" i="30" s="1"/>
  <c r="B115" i="30"/>
  <c r="F116" i="29"/>
  <c r="B116" i="29"/>
  <c r="B111" i="45"/>
  <c r="F111" i="45"/>
  <c r="F123" i="11"/>
  <c r="H123" i="11" s="1"/>
  <c r="B123" i="11"/>
  <c r="B110" i="46"/>
  <c r="F110" i="46"/>
  <c r="H110" i="46" s="1"/>
  <c r="F113" i="39"/>
  <c r="H113" i="39" s="1"/>
  <c r="B113" i="39"/>
  <c r="F121" i="3"/>
  <c r="H121" i="3" s="1"/>
  <c r="B121" i="3"/>
  <c r="B117" i="27"/>
  <c r="F117" i="27"/>
  <c r="H117" i="27" s="1"/>
  <c r="F112" i="38"/>
  <c r="B112" i="38"/>
  <c r="H123" i="10"/>
  <c r="D124" i="10"/>
  <c r="G123" i="10"/>
  <c r="I123" i="10" s="1"/>
  <c r="E124" i="10"/>
  <c r="J122" i="11"/>
  <c r="J109" i="46"/>
  <c r="J112" i="39"/>
  <c r="B122" i="8"/>
  <c r="F122" i="8"/>
  <c r="H122" i="8" s="1"/>
  <c r="J123" i="10" l="1"/>
  <c r="D117" i="29"/>
  <c r="G116" i="29"/>
  <c r="I116" i="29" s="1"/>
  <c r="E117" i="29"/>
  <c r="G115" i="30"/>
  <c r="I115" i="30" s="1"/>
  <c r="J115" i="30" s="1"/>
  <c r="D116" i="30"/>
  <c r="E116" i="30"/>
  <c r="G116" i="31"/>
  <c r="I116" i="31" s="1"/>
  <c r="J116" i="31" s="1"/>
  <c r="D117" i="31"/>
  <c r="E117" i="31"/>
  <c r="G111" i="44"/>
  <c r="I111" i="44" s="1"/>
  <c r="J111" i="44" s="1"/>
  <c r="D112" i="44"/>
  <c r="E112" i="44"/>
  <c r="D122" i="4"/>
  <c r="G121" i="4"/>
  <c r="I121" i="4" s="1"/>
  <c r="J121" i="4" s="1"/>
  <c r="E122" i="4"/>
  <c r="H112" i="38"/>
  <c r="D113" i="38"/>
  <c r="G112" i="38"/>
  <c r="I112" i="38" s="1"/>
  <c r="E113" i="38"/>
  <c r="H111" i="45"/>
  <c r="G111" i="45"/>
  <c r="I111" i="45" s="1"/>
  <c r="D112" i="45"/>
  <c r="E112" i="45"/>
  <c r="D117" i="28"/>
  <c r="G116" i="28"/>
  <c r="I116" i="28" s="1"/>
  <c r="J116" i="28" s="1"/>
  <c r="E117" i="28"/>
  <c r="G123" i="9"/>
  <c r="I123" i="9" s="1"/>
  <c r="D124" i="9"/>
  <c r="E124" i="9"/>
  <c r="D124" i="11"/>
  <c r="G123" i="11"/>
  <c r="I123" i="11" s="1"/>
  <c r="J123" i="11" s="1"/>
  <c r="E124" i="11"/>
  <c r="G120" i="22"/>
  <c r="I120" i="22" s="1"/>
  <c r="J120" i="22" s="1"/>
  <c r="D121" i="22"/>
  <c r="E121" i="22"/>
  <c r="D123" i="6"/>
  <c r="G122" i="6"/>
  <c r="I122" i="6" s="1"/>
  <c r="J122" i="6" s="1"/>
  <c r="E123" i="6"/>
  <c r="G120" i="25"/>
  <c r="I120" i="25" s="1"/>
  <c r="J120" i="25" s="1"/>
  <c r="D121" i="25"/>
  <c r="E121" i="25"/>
  <c r="G118" i="24"/>
  <c r="I118" i="24" s="1"/>
  <c r="J118" i="24" s="1"/>
  <c r="D119" i="24"/>
  <c r="E119" i="24"/>
  <c r="D112" i="43"/>
  <c r="G111" i="43"/>
  <c r="I111" i="43" s="1"/>
  <c r="J111" i="43" s="1"/>
  <c r="E112" i="43"/>
  <c r="B124" i="10"/>
  <c r="F124" i="10"/>
  <c r="H124" i="10" s="1"/>
  <c r="D113" i="40"/>
  <c r="G112" i="40"/>
  <c r="I112" i="40" s="1"/>
  <c r="E113" i="40"/>
  <c r="G121" i="5"/>
  <c r="I121" i="5" s="1"/>
  <c r="D122" i="5"/>
  <c r="E122" i="5"/>
  <c r="G122" i="8"/>
  <c r="I122" i="8" s="1"/>
  <c r="J122" i="8" s="1"/>
  <c r="D123" i="8"/>
  <c r="E123" i="8"/>
  <c r="H116" i="29"/>
  <c r="H123" i="9"/>
  <c r="G113" i="37"/>
  <c r="I113" i="37" s="1"/>
  <c r="J113" i="37" s="1"/>
  <c r="D114" i="37"/>
  <c r="E114" i="37"/>
  <c r="G119" i="23"/>
  <c r="I119" i="23" s="1"/>
  <c r="J119" i="23" s="1"/>
  <c r="D120" i="23"/>
  <c r="E120" i="23"/>
  <c r="D122" i="3"/>
  <c r="G121" i="3"/>
  <c r="I121" i="3" s="1"/>
  <c r="J121" i="3" s="1"/>
  <c r="E122" i="3"/>
  <c r="D114" i="39"/>
  <c r="G113" i="39"/>
  <c r="I113" i="39" s="1"/>
  <c r="J113" i="39" s="1"/>
  <c r="E114" i="39"/>
  <c r="D118" i="27"/>
  <c r="G117" i="27"/>
  <c r="I117" i="27" s="1"/>
  <c r="J117" i="27" s="1"/>
  <c r="E118" i="27"/>
  <c r="D111" i="46"/>
  <c r="G110" i="46"/>
  <c r="I110" i="46" s="1"/>
  <c r="J110" i="46" s="1"/>
  <c r="E111" i="46"/>
  <c r="H111" i="42"/>
  <c r="D112" i="42"/>
  <c r="G111" i="42"/>
  <c r="I111" i="42" s="1"/>
  <c r="E112" i="42"/>
  <c r="H112" i="40"/>
  <c r="D125" i="7"/>
  <c r="G124" i="7"/>
  <c r="I124" i="7" s="1"/>
  <c r="J124" i="7" s="1"/>
  <c r="E125" i="7"/>
  <c r="H121" i="5"/>
  <c r="G112" i="41"/>
  <c r="I112" i="41" s="1"/>
  <c r="J112" i="41" s="1"/>
  <c r="D113" i="41"/>
  <c r="E113" i="41"/>
  <c r="J111" i="45" l="1"/>
  <c r="B117" i="31"/>
  <c r="F117" i="31"/>
  <c r="H117" i="31" s="1"/>
  <c r="F114" i="39"/>
  <c r="H114" i="39" s="1"/>
  <c r="B114" i="39"/>
  <c r="B114" i="37"/>
  <c r="F114" i="37"/>
  <c r="F122" i="5"/>
  <c r="H122" i="5" s="1"/>
  <c r="B122" i="5"/>
  <c r="J121" i="5"/>
  <c r="B124" i="11"/>
  <c r="F124" i="11"/>
  <c r="H124" i="11" s="1"/>
  <c r="F112" i="45"/>
  <c r="H112" i="45" s="1"/>
  <c r="B112" i="45"/>
  <c r="B123" i="6"/>
  <c r="F123" i="6"/>
  <c r="H123" i="6" s="1"/>
  <c r="F124" i="9"/>
  <c r="B124" i="9"/>
  <c r="B121" i="25"/>
  <c r="F121" i="25"/>
  <c r="B116" i="30"/>
  <c r="F116" i="30"/>
  <c r="H116" i="30" s="1"/>
  <c r="F122" i="3"/>
  <c r="B122" i="3"/>
  <c r="B113" i="40"/>
  <c r="F113" i="40"/>
  <c r="H113" i="40" s="1"/>
  <c r="B119" i="24"/>
  <c r="F119" i="24"/>
  <c r="J123" i="9"/>
  <c r="F112" i="44"/>
  <c r="B112" i="44"/>
  <c r="F117" i="28"/>
  <c r="H117" i="28" s="1"/>
  <c r="B117" i="28"/>
  <c r="F125" i="7"/>
  <c r="H125" i="7" s="1"/>
  <c r="B125" i="7"/>
  <c r="B112" i="43"/>
  <c r="F112" i="43"/>
  <c r="H112" i="43" s="1"/>
  <c r="B122" i="4"/>
  <c r="F122" i="4"/>
  <c r="H122" i="4" s="1"/>
  <c r="F113" i="41"/>
  <c r="B113" i="41"/>
  <c r="F118" i="27"/>
  <c r="B118" i="27"/>
  <c r="B123" i="8"/>
  <c r="F123" i="8"/>
  <c r="H123" i="8" s="1"/>
  <c r="B121" i="22"/>
  <c r="F121" i="22"/>
  <c r="H121" i="22" s="1"/>
  <c r="J112" i="38"/>
  <c r="J116" i="29"/>
  <c r="F111" i="46"/>
  <c r="H111" i="46" s="1"/>
  <c r="B111" i="46"/>
  <c r="J112" i="40"/>
  <c r="J111" i="42"/>
  <c r="B120" i="23"/>
  <c r="F120" i="23"/>
  <c r="H120" i="23" s="1"/>
  <c r="B112" i="42"/>
  <c r="F112" i="42"/>
  <c r="H112" i="42" s="1"/>
  <c r="G124" i="10"/>
  <c r="I124" i="10" s="1"/>
  <c r="J124" i="10" s="1"/>
  <c r="D125" i="10"/>
  <c r="E125" i="10"/>
  <c r="F113" i="38"/>
  <c r="H113" i="38" s="1"/>
  <c r="B113" i="38"/>
  <c r="F117" i="29"/>
  <c r="H117" i="29" s="1"/>
  <c r="B117" i="29"/>
  <c r="G118" i="27" l="1"/>
  <c r="I118" i="27" s="1"/>
  <c r="D119" i="27"/>
  <c r="E119" i="27"/>
  <c r="D122" i="22"/>
  <c r="G121" i="22"/>
  <c r="I121" i="22" s="1"/>
  <c r="J121" i="22" s="1"/>
  <c r="E122" i="22"/>
  <c r="G124" i="9"/>
  <c r="I124" i="9" s="1"/>
  <c r="D125" i="9"/>
  <c r="E125" i="9"/>
  <c r="H113" i="41"/>
  <c r="D114" i="41"/>
  <c r="G113" i="41"/>
  <c r="I113" i="41" s="1"/>
  <c r="E114" i="41"/>
  <c r="H119" i="24"/>
  <c r="G119" i="24"/>
  <c r="I119" i="24" s="1"/>
  <c r="D120" i="24"/>
  <c r="E120" i="24"/>
  <c r="D123" i="3"/>
  <c r="G122" i="3"/>
  <c r="I122" i="3" s="1"/>
  <c r="E123" i="3"/>
  <c r="D126" i="7"/>
  <c r="G125" i="7"/>
  <c r="I125" i="7" s="1"/>
  <c r="J125" i="7" s="1"/>
  <c r="E126" i="7"/>
  <c r="D117" i="30"/>
  <c r="G116" i="30"/>
  <c r="I116" i="30" s="1"/>
  <c r="J116" i="30" s="1"/>
  <c r="E117" i="30"/>
  <c r="G123" i="6"/>
  <c r="I123" i="6" s="1"/>
  <c r="J123" i="6" s="1"/>
  <c r="D124" i="6"/>
  <c r="E124" i="6"/>
  <c r="G114" i="37"/>
  <c r="I114" i="37" s="1"/>
  <c r="D115" i="37"/>
  <c r="E115" i="37"/>
  <c r="G124" i="11"/>
  <c r="I124" i="11" s="1"/>
  <c r="J124" i="11" s="1"/>
  <c r="D125" i="11"/>
  <c r="E125" i="11"/>
  <c r="G117" i="29"/>
  <c r="I117" i="29" s="1"/>
  <c r="J117" i="29" s="1"/>
  <c r="D118" i="29"/>
  <c r="E118" i="29"/>
  <c r="D113" i="42"/>
  <c r="G112" i="42"/>
  <c r="I112" i="42" s="1"/>
  <c r="J112" i="42" s="1"/>
  <c r="E113" i="42"/>
  <c r="G123" i="8"/>
  <c r="I123" i="8" s="1"/>
  <c r="J123" i="8" s="1"/>
  <c r="D124" i="8"/>
  <c r="E124" i="8"/>
  <c r="D123" i="4"/>
  <c r="G122" i="4"/>
  <c r="I122" i="4" s="1"/>
  <c r="J122" i="4" s="1"/>
  <c r="E123" i="4"/>
  <c r="G114" i="39"/>
  <c r="I114" i="39" s="1"/>
  <c r="J114" i="39" s="1"/>
  <c r="D115" i="39"/>
  <c r="E115" i="39"/>
  <c r="B125" i="10"/>
  <c r="F125" i="10"/>
  <c r="H125" i="10" s="1"/>
  <c r="D112" i="46"/>
  <c r="G111" i="46"/>
  <c r="I111" i="46" s="1"/>
  <c r="J111" i="46" s="1"/>
  <c r="E112" i="46"/>
  <c r="G113" i="40"/>
  <c r="I113" i="40" s="1"/>
  <c r="J113" i="40" s="1"/>
  <c r="D114" i="40"/>
  <c r="E114" i="40"/>
  <c r="H121" i="25"/>
  <c r="G121" i="25"/>
  <c r="I121" i="25" s="1"/>
  <c r="D122" i="25"/>
  <c r="E122" i="25"/>
  <c r="H112" i="44"/>
  <c r="D113" i="44"/>
  <c r="G112" i="44"/>
  <c r="I112" i="44" s="1"/>
  <c r="E113" i="44"/>
  <c r="H118" i="27"/>
  <c r="D118" i="28"/>
  <c r="G117" i="28"/>
  <c r="I117" i="28" s="1"/>
  <c r="J117" i="28" s="1"/>
  <c r="E118" i="28"/>
  <c r="G122" i="5"/>
  <c r="I122" i="5" s="1"/>
  <c r="J122" i="5" s="1"/>
  <c r="D123" i="5"/>
  <c r="E123" i="5"/>
  <c r="G117" i="31"/>
  <c r="I117" i="31" s="1"/>
  <c r="J117" i="31" s="1"/>
  <c r="D118" i="31"/>
  <c r="E118" i="31"/>
  <c r="G113" i="38"/>
  <c r="I113" i="38" s="1"/>
  <c r="J113" i="38" s="1"/>
  <c r="D114" i="38"/>
  <c r="E114" i="38"/>
  <c r="G120" i="23"/>
  <c r="I120" i="23" s="1"/>
  <c r="J120" i="23" s="1"/>
  <c r="D121" i="23"/>
  <c r="E121" i="23"/>
  <c r="D113" i="43"/>
  <c r="G112" i="43"/>
  <c r="I112" i="43" s="1"/>
  <c r="J112" i="43" s="1"/>
  <c r="E113" i="43"/>
  <c r="H122" i="3"/>
  <c r="H124" i="9"/>
  <c r="D113" i="45"/>
  <c r="G112" i="45"/>
  <c r="I112" i="45" s="1"/>
  <c r="J112" i="45" s="1"/>
  <c r="E113" i="45"/>
  <c r="H114" i="37"/>
  <c r="J113" i="41" l="1"/>
  <c r="J119" i="24"/>
  <c r="J121" i="25"/>
  <c r="F112" i="46"/>
  <c r="H112" i="46" s="1"/>
  <c r="B112" i="46"/>
  <c r="J114" i="37"/>
  <c r="F117" i="30"/>
  <c r="H117" i="30" s="1"/>
  <c r="B117" i="30"/>
  <c r="F114" i="38"/>
  <c r="B114" i="38"/>
  <c r="F115" i="37"/>
  <c r="H115" i="37" s="1"/>
  <c r="B115" i="37"/>
  <c r="F123" i="4"/>
  <c r="H123" i="4" s="1"/>
  <c r="B123" i="4"/>
  <c r="B118" i="29"/>
  <c r="F118" i="29"/>
  <c r="B126" i="7"/>
  <c r="F126" i="7"/>
  <c r="B113" i="43"/>
  <c r="F113" i="43"/>
  <c r="H113" i="43" s="1"/>
  <c r="B124" i="6"/>
  <c r="F124" i="6"/>
  <c r="H124" i="6" s="1"/>
  <c r="B122" i="22"/>
  <c r="F122" i="22"/>
  <c r="H122" i="22" s="1"/>
  <c r="B113" i="42"/>
  <c r="F113" i="42"/>
  <c r="H113" i="42" s="1"/>
  <c r="F118" i="31"/>
  <c r="H118" i="31" s="1"/>
  <c r="B118" i="31"/>
  <c r="F124" i="8"/>
  <c r="H124" i="8" s="1"/>
  <c r="B124" i="8"/>
  <c r="J122" i="3"/>
  <c r="B114" i="41"/>
  <c r="F114" i="41"/>
  <c r="B125" i="9"/>
  <c r="F125" i="9"/>
  <c r="H125" i="9" s="1"/>
  <c r="J124" i="9"/>
  <c r="J112" i="44"/>
  <c r="B114" i="40"/>
  <c r="F114" i="40"/>
  <c r="F125" i="11"/>
  <c r="H125" i="11" s="1"/>
  <c r="B125" i="11"/>
  <c r="B123" i="3"/>
  <c r="F123" i="3"/>
  <c r="H123" i="3" s="1"/>
  <c r="B119" i="27"/>
  <c r="F119" i="27"/>
  <c r="H119" i="27" s="1"/>
  <c r="B120" i="24"/>
  <c r="F120" i="24"/>
  <c r="H120" i="24" s="1"/>
  <c r="B122" i="25"/>
  <c r="F122" i="25"/>
  <c r="H122" i="25" s="1"/>
  <c r="F118" i="28"/>
  <c r="H118" i="28" s="1"/>
  <c r="B118" i="28"/>
  <c r="D126" i="10"/>
  <c r="G125" i="10"/>
  <c r="I125" i="10" s="1"/>
  <c r="J125" i="10" s="1"/>
  <c r="E126" i="10"/>
  <c r="F121" i="23"/>
  <c r="B121" i="23"/>
  <c r="B113" i="45"/>
  <c r="F113" i="45"/>
  <c r="H113" i="45" s="1"/>
  <c r="B123" i="5"/>
  <c r="F123" i="5"/>
  <c r="H123" i="5" s="1"/>
  <c r="B113" i="44"/>
  <c r="F113" i="44"/>
  <c r="H113" i="44" s="1"/>
  <c r="B115" i="39"/>
  <c r="F115" i="39"/>
  <c r="H115" i="39" s="1"/>
  <c r="J118" i="27"/>
  <c r="D123" i="25" l="1"/>
  <c r="G122" i="25"/>
  <c r="I122" i="25" s="1"/>
  <c r="J122" i="25" s="1"/>
  <c r="E123" i="25"/>
  <c r="G123" i="5"/>
  <c r="I123" i="5" s="1"/>
  <c r="J123" i="5" s="1"/>
  <c r="D124" i="5"/>
  <c r="E124" i="5"/>
  <c r="G123" i="3"/>
  <c r="I123" i="3" s="1"/>
  <c r="J123" i="3" s="1"/>
  <c r="D124" i="3"/>
  <c r="E124" i="3"/>
  <c r="D114" i="43"/>
  <c r="G113" i="43"/>
  <c r="I113" i="43" s="1"/>
  <c r="J113" i="43" s="1"/>
  <c r="E114" i="43"/>
  <c r="D124" i="4"/>
  <c r="G123" i="4"/>
  <c r="I123" i="4" s="1"/>
  <c r="J123" i="4" s="1"/>
  <c r="E124" i="4"/>
  <c r="G114" i="38"/>
  <c r="I114" i="38" s="1"/>
  <c r="D115" i="38"/>
  <c r="E115" i="38"/>
  <c r="G117" i="30"/>
  <c r="I117" i="30" s="1"/>
  <c r="J117" i="30" s="1"/>
  <c r="D118" i="30"/>
  <c r="E118" i="30"/>
  <c r="D115" i="40"/>
  <c r="G114" i="40"/>
  <c r="I114" i="40" s="1"/>
  <c r="E115" i="40"/>
  <c r="G115" i="39"/>
  <c r="I115" i="39" s="1"/>
  <c r="J115" i="39" s="1"/>
  <c r="D116" i="39"/>
  <c r="E116" i="39"/>
  <c r="F126" i="10"/>
  <c r="B126" i="10"/>
  <c r="D121" i="24"/>
  <c r="G120" i="24"/>
  <c r="I120" i="24" s="1"/>
  <c r="J120" i="24" s="1"/>
  <c r="E121" i="24"/>
  <c r="G124" i="8"/>
  <c r="I124" i="8" s="1"/>
  <c r="J124" i="8" s="1"/>
  <c r="D125" i="8"/>
  <c r="E125" i="8"/>
  <c r="D123" i="22"/>
  <c r="G122" i="22"/>
  <c r="I122" i="22" s="1"/>
  <c r="J122" i="22" s="1"/>
  <c r="E123" i="22"/>
  <c r="H126" i="7"/>
  <c r="G126" i="7"/>
  <c r="I126" i="7" s="1"/>
  <c r="D127" i="7"/>
  <c r="E127" i="7"/>
  <c r="G113" i="45"/>
  <c r="I113" i="45" s="1"/>
  <c r="J113" i="45" s="1"/>
  <c r="D114" i="45"/>
  <c r="E114" i="45"/>
  <c r="D126" i="9"/>
  <c r="G125" i="9"/>
  <c r="I125" i="9" s="1"/>
  <c r="J125" i="9" s="1"/>
  <c r="E126" i="9"/>
  <c r="G115" i="37"/>
  <c r="I115" i="37" s="1"/>
  <c r="J115" i="37" s="1"/>
  <c r="D116" i="37"/>
  <c r="E116" i="37"/>
  <c r="G113" i="42"/>
  <c r="I113" i="42" s="1"/>
  <c r="J113" i="42" s="1"/>
  <c r="D114" i="42"/>
  <c r="E114" i="42"/>
  <c r="D126" i="11"/>
  <c r="G125" i="11"/>
  <c r="I125" i="11" s="1"/>
  <c r="J125" i="11" s="1"/>
  <c r="E126" i="11"/>
  <c r="H118" i="29"/>
  <c r="D119" i="29"/>
  <c r="G118" i="29"/>
  <c r="I118" i="29" s="1"/>
  <c r="E119" i="29"/>
  <c r="H114" i="38"/>
  <c r="G121" i="23"/>
  <c r="I121" i="23" s="1"/>
  <c r="D122" i="23"/>
  <c r="E122" i="23"/>
  <c r="G113" i="44"/>
  <c r="I113" i="44" s="1"/>
  <c r="J113" i="44" s="1"/>
  <c r="D114" i="44"/>
  <c r="E114" i="44"/>
  <c r="H121" i="23"/>
  <c r="G118" i="28"/>
  <c r="I118" i="28" s="1"/>
  <c r="J118" i="28" s="1"/>
  <c r="D119" i="28"/>
  <c r="E119" i="28"/>
  <c r="D120" i="27"/>
  <c r="G119" i="27"/>
  <c r="I119" i="27" s="1"/>
  <c r="J119" i="27" s="1"/>
  <c r="E120" i="27"/>
  <c r="H114" i="40"/>
  <c r="H114" i="41"/>
  <c r="G114" i="41"/>
  <c r="I114" i="41" s="1"/>
  <c r="D115" i="41"/>
  <c r="E115" i="41"/>
  <c r="G118" i="31"/>
  <c r="I118" i="31" s="1"/>
  <c r="J118" i="31" s="1"/>
  <c r="D119" i="31"/>
  <c r="E119" i="31"/>
  <c r="D125" i="6"/>
  <c r="G124" i="6"/>
  <c r="I124" i="6" s="1"/>
  <c r="J124" i="6" s="1"/>
  <c r="E125" i="6"/>
  <c r="D113" i="46"/>
  <c r="G112" i="46"/>
  <c r="I112" i="46" s="1"/>
  <c r="J112" i="46" s="1"/>
  <c r="E113" i="46"/>
  <c r="J118" i="29" l="1"/>
  <c r="J126" i="7"/>
  <c r="J114" i="38"/>
  <c r="F124" i="3"/>
  <c r="H124" i="3" s="1"/>
  <c r="B124" i="3"/>
  <c r="F119" i="28"/>
  <c r="H119" i="28" s="1"/>
  <c r="B119" i="28"/>
  <c r="J121" i="23"/>
  <c r="F126" i="11"/>
  <c r="B126" i="11"/>
  <c r="J114" i="40"/>
  <c r="F113" i="46"/>
  <c r="H113" i="46" s="1"/>
  <c r="B113" i="46"/>
  <c r="F115" i="41"/>
  <c r="B115" i="41"/>
  <c r="J114" i="41"/>
  <c r="F126" i="9"/>
  <c r="H126" i="9" s="1"/>
  <c r="B126" i="9"/>
  <c r="F121" i="24"/>
  <c r="B121" i="24"/>
  <c r="F115" i="40"/>
  <c r="B115" i="40"/>
  <c r="B114" i="42"/>
  <c r="F114" i="42"/>
  <c r="B124" i="4"/>
  <c r="F124" i="4"/>
  <c r="H124" i="4" s="1"/>
  <c r="B124" i="5"/>
  <c r="F124" i="5"/>
  <c r="H124" i="5" s="1"/>
  <c r="F122" i="23"/>
  <c r="H122" i="23" s="1"/>
  <c r="B122" i="23"/>
  <c r="B125" i="6"/>
  <c r="F125" i="6"/>
  <c r="H125" i="6" s="1"/>
  <c r="F114" i="45"/>
  <c r="H114" i="45" s="1"/>
  <c r="B114" i="45"/>
  <c r="B123" i="22"/>
  <c r="F123" i="22"/>
  <c r="H123" i="22" s="1"/>
  <c r="H126" i="10"/>
  <c r="D127" i="10"/>
  <c r="G126" i="10"/>
  <c r="I126" i="10" s="1"/>
  <c r="E127" i="10"/>
  <c r="B118" i="30"/>
  <c r="F118" i="30"/>
  <c r="H118" i="30" s="1"/>
  <c r="B119" i="29"/>
  <c r="F119" i="29"/>
  <c r="H119" i="29" s="1"/>
  <c r="B119" i="31"/>
  <c r="F119" i="31"/>
  <c r="H119" i="31" s="1"/>
  <c r="B116" i="37"/>
  <c r="F116" i="37"/>
  <c r="B125" i="8"/>
  <c r="F125" i="8"/>
  <c r="B116" i="39"/>
  <c r="F116" i="39"/>
  <c r="H116" i="39" s="1"/>
  <c r="F114" i="43"/>
  <c r="H114" i="43" s="1"/>
  <c r="B114" i="43"/>
  <c r="B114" i="44"/>
  <c r="F114" i="44"/>
  <c r="B120" i="27"/>
  <c r="F120" i="27"/>
  <c r="H120" i="27" s="1"/>
  <c r="F127" i="7"/>
  <c r="H127" i="7" s="1"/>
  <c r="B127" i="7"/>
  <c r="B115" i="38"/>
  <c r="F115" i="38"/>
  <c r="H115" i="38" s="1"/>
  <c r="F123" i="25"/>
  <c r="B123" i="25"/>
  <c r="G125" i="8" l="1"/>
  <c r="I125" i="8" s="1"/>
  <c r="D126" i="8"/>
  <c r="E126" i="8"/>
  <c r="D116" i="40"/>
  <c r="G115" i="40"/>
  <c r="I115" i="40" s="1"/>
  <c r="E116" i="40"/>
  <c r="D125" i="4"/>
  <c r="G124" i="4"/>
  <c r="I124" i="4" s="1"/>
  <c r="J124" i="4" s="1"/>
  <c r="E125" i="4"/>
  <c r="H121" i="24"/>
  <c r="D122" i="24"/>
  <c r="G121" i="24"/>
  <c r="I121" i="24" s="1"/>
  <c r="E122" i="24"/>
  <c r="G116" i="37"/>
  <c r="I116" i="37" s="1"/>
  <c r="D117" i="37"/>
  <c r="E117" i="37"/>
  <c r="D124" i="22"/>
  <c r="G123" i="22"/>
  <c r="I123" i="22" s="1"/>
  <c r="J123" i="22" s="1"/>
  <c r="E124" i="22"/>
  <c r="G126" i="11"/>
  <c r="I126" i="11" s="1"/>
  <c r="D127" i="11"/>
  <c r="E127" i="11"/>
  <c r="D115" i="43"/>
  <c r="G114" i="43"/>
  <c r="I114" i="43" s="1"/>
  <c r="J114" i="43" s="1"/>
  <c r="E115" i="43"/>
  <c r="G118" i="30"/>
  <c r="I118" i="30" s="1"/>
  <c r="J118" i="30" s="1"/>
  <c r="D119" i="30"/>
  <c r="E119" i="30"/>
  <c r="H114" i="42"/>
  <c r="D115" i="42"/>
  <c r="G114" i="42"/>
  <c r="I114" i="42" s="1"/>
  <c r="E115" i="42"/>
  <c r="G113" i="46"/>
  <c r="I113" i="46" s="1"/>
  <c r="J113" i="46" s="1"/>
  <c r="D114" i="46"/>
  <c r="E114" i="46"/>
  <c r="D120" i="28"/>
  <c r="G119" i="28"/>
  <c r="I119" i="28" s="1"/>
  <c r="J119" i="28" s="1"/>
  <c r="E120" i="28"/>
  <c r="D120" i="29"/>
  <c r="G119" i="29"/>
  <c r="I119" i="29" s="1"/>
  <c r="J119" i="29" s="1"/>
  <c r="E120" i="29"/>
  <c r="H116" i="37"/>
  <c r="G127" i="7"/>
  <c r="I127" i="7" s="1"/>
  <c r="J127" i="7" s="1"/>
  <c r="D128" i="7"/>
  <c r="E128" i="7"/>
  <c r="H123" i="25"/>
  <c r="G123" i="25"/>
  <c r="I123" i="25" s="1"/>
  <c r="D124" i="25"/>
  <c r="E124" i="25"/>
  <c r="D121" i="27"/>
  <c r="G120" i="27"/>
  <c r="I120" i="27" s="1"/>
  <c r="J120" i="27" s="1"/>
  <c r="E121" i="27"/>
  <c r="D117" i="39"/>
  <c r="G116" i="39"/>
  <c r="I116" i="39" s="1"/>
  <c r="J116" i="39" s="1"/>
  <c r="E117" i="39"/>
  <c r="D123" i="23"/>
  <c r="G122" i="23"/>
  <c r="I122" i="23" s="1"/>
  <c r="J122" i="23" s="1"/>
  <c r="E123" i="23"/>
  <c r="G126" i="9"/>
  <c r="I126" i="9" s="1"/>
  <c r="J126" i="9" s="1"/>
  <c r="D127" i="9"/>
  <c r="E127" i="9"/>
  <c r="B127" i="10"/>
  <c r="F127" i="10"/>
  <c r="H127" i="10" s="1"/>
  <c r="G119" i="31"/>
  <c r="I119" i="31" s="1"/>
  <c r="J119" i="31" s="1"/>
  <c r="D120" i="31"/>
  <c r="E120" i="31"/>
  <c r="H115" i="40"/>
  <c r="H126" i="11"/>
  <c r="D126" i="6"/>
  <c r="G125" i="6"/>
  <c r="I125" i="6" s="1"/>
  <c r="J125" i="6" s="1"/>
  <c r="E126" i="6"/>
  <c r="G115" i="41"/>
  <c r="I115" i="41" s="1"/>
  <c r="D116" i="41"/>
  <c r="E116" i="41"/>
  <c r="G115" i="38"/>
  <c r="I115" i="38" s="1"/>
  <c r="J115" i="38" s="1"/>
  <c r="D116" i="38"/>
  <c r="E116" i="38"/>
  <c r="H114" i="44"/>
  <c r="G114" i="44"/>
  <c r="I114" i="44" s="1"/>
  <c r="D115" i="44"/>
  <c r="E115" i="44"/>
  <c r="H125" i="8"/>
  <c r="J126" i="10"/>
  <c r="G114" i="45"/>
  <c r="I114" i="45" s="1"/>
  <c r="J114" i="45" s="1"/>
  <c r="D115" i="45"/>
  <c r="E115" i="45"/>
  <c r="D125" i="5"/>
  <c r="G124" i="5"/>
  <c r="I124" i="5" s="1"/>
  <c r="J124" i="5" s="1"/>
  <c r="E125" i="5"/>
  <c r="H115" i="41"/>
  <c r="G124" i="3"/>
  <c r="I124" i="3" s="1"/>
  <c r="J124" i="3" s="1"/>
  <c r="D125" i="3"/>
  <c r="E125" i="3"/>
  <c r="J114" i="44" l="1"/>
  <c r="J123" i="25"/>
  <c r="J114" i="42"/>
  <c r="J115" i="40"/>
  <c r="F115" i="45"/>
  <c r="H115" i="45" s="1"/>
  <c r="B115" i="45"/>
  <c r="F126" i="6"/>
  <c r="H126" i="6" s="1"/>
  <c r="B126" i="6"/>
  <c r="F115" i="42"/>
  <c r="B115" i="42"/>
  <c r="J116" i="37"/>
  <c r="F123" i="23"/>
  <c r="H123" i="23" s="1"/>
  <c r="B123" i="23"/>
  <c r="G127" i="10"/>
  <c r="I127" i="10" s="1"/>
  <c r="J127" i="10" s="1"/>
  <c r="D128" i="10"/>
  <c r="E128" i="10"/>
  <c r="B120" i="29"/>
  <c r="F120" i="29"/>
  <c r="H120" i="29" s="1"/>
  <c r="F117" i="37"/>
  <c r="B117" i="37"/>
  <c r="B117" i="39"/>
  <c r="F117" i="39"/>
  <c r="H117" i="39" s="1"/>
  <c r="F127" i="11"/>
  <c r="H127" i="11" s="1"/>
  <c r="B127" i="11"/>
  <c r="F125" i="5"/>
  <c r="H125" i="5" s="1"/>
  <c r="B125" i="5"/>
  <c r="B125" i="3"/>
  <c r="F125" i="3"/>
  <c r="B116" i="38"/>
  <c r="F116" i="38"/>
  <c r="F127" i="9"/>
  <c r="B127" i="9"/>
  <c r="B128" i="7"/>
  <c r="F128" i="7"/>
  <c r="H128" i="7" s="1"/>
  <c r="F120" i="28"/>
  <c r="H120" i="28" s="1"/>
  <c r="B120" i="28"/>
  <c r="J126" i="11"/>
  <c r="J121" i="24"/>
  <c r="B116" i="40"/>
  <c r="F116" i="40"/>
  <c r="H116" i="40" s="1"/>
  <c r="B119" i="30"/>
  <c r="F119" i="30"/>
  <c r="H119" i="30" s="1"/>
  <c r="F122" i="24"/>
  <c r="H122" i="24" s="1"/>
  <c r="B122" i="24"/>
  <c r="F125" i="4"/>
  <c r="B125" i="4"/>
  <c r="B116" i="41"/>
  <c r="F116" i="41"/>
  <c r="H116" i="41" s="1"/>
  <c r="B121" i="27"/>
  <c r="F121" i="27"/>
  <c r="H121" i="27" s="1"/>
  <c r="B114" i="46"/>
  <c r="F114" i="46"/>
  <c r="H114" i="46" s="1"/>
  <c r="F126" i="8"/>
  <c r="H126" i="8" s="1"/>
  <c r="B126" i="8"/>
  <c r="F124" i="25"/>
  <c r="H124" i="25" s="1"/>
  <c r="B124" i="25"/>
  <c r="B115" i="43"/>
  <c r="F115" i="43"/>
  <c r="H115" i="43" s="1"/>
  <c r="B120" i="31"/>
  <c r="F120" i="31"/>
  <c r="H120" i="31" s="1"/>
  <c r="F115" i="44"/>
  <c r="B115" i="44"/>
  <c r="J115" i="41"/>
  <c r="F124" i="22"/>
  <c r="H124" i="22" s="1"/>
  <c r="B124" i="22"/>
  <c r="J125" i="8"/>
  <c r="D117" i="40" l="1"/>
  <c r="G116" i="40"/>
  <c r="I116" i="40" s="1"/>
  <c r="J116" i="40" s="1"/>
  <c r="E117" i="40"/>
  <c r="D125" i="25"/>
  <c r="G124" i="25"/>
  <c r="I124" i="25" s="1"/>
  <c r="J124" i="25" s="1"/>
  <c r="E125" i="25"/>
  <c r="G121" i="27"/>
  <c r="I121" i="27" s="1"/>
  <c r="J121" i="27" s="1"/>
  <c r="D122" i="27"/>
  <c r="E122" i="27"/>
  <c r="G117" i="39"/>
  <c r="I117" i="39" s="1"/>
  <c r="J117" i="39" s="1"/>
  <c r="D118" i="39"/>
  <c r="E118" i="39"/>
  <c r="G128" i="7"/>
  <c r="I128" i="7" s="1"/>
  <c r="J128" i="7" s="1"/>
  <c r="D129" i="7"/>
  <c r="E129" i="7"/>
  <c r="D123" i="24"/>
  <c r="G122" i="24"/>
  <c r="I122" i="24" s="1"/>
  <c r="J122" i="24" s="1"/>
  <c r="E123" i="24"/>
  <c r="H127" i="9"/>
  <c r="G127" i="9"/>
  <c r="I127" i="9" s="1"/>
  <c r="D128" i="9"/>
  <c r="E128" i="9"/>
  <c r="D126" i="5"/>
  <c r="G125" i="5"/>
  <c r="I125" i="5" s="1"/>
  <c r="J125" i="5" s="1"/>
  <c r="E126" i="5"/>
  <c r="H117" i="37"/>
  <c r="G117" i="37"/>
  <c r="I117" i="37" s="1"/>
  <c r="D118" i="37"/>
  <c r="E118" i="37"/>
  <c r="G126" i="6"/>
  <c r="I126" i="6" s="1"/>
  <c r="J126" i="6" s="1"/>
  <c r="D127" i="6"/>
  <c r="E127" i="6"/>
  <c r="B128" i="10"/>
  <c r="F128" i="10"/>
  <c r="H128" i="10" s="1"/>
  <c r="D117" i="41"/>
  <c r="G116" i="41"/>
  <c r="I116" i="41" s="1"/>
  <c r="J116" i="41" s="1"/>
  <c r="E117" i="41"/>
  <c r="H116" i="38"/>
  <c r="D117" i="38"/>
  <c r="G116" i="38"/>
  <c r="I116" i="38" s="1"/>
  <c r="E117" i="38"/>
  <c r="G123" i="23"/>
  <c r="I123" i="23" s="1"/>
  <c r="J123" i="23" s="1"/>
  <c r="D124" i="23"/>
  <c r="E124" i="23"/>
  <c r="G125" i="3"/>
  <c r="I125" i="3" s="1"/>
  <c r="D126" i="3"/>
  <c r="E126" i="3"/>
  <c r="D116" i="44"/>
  <c r="G115" i="44"/>
  <c r="I115" i="44" s="1"/>
  <c r="E116" i="44"/>
  <c r="G125" i="4"/>
  <c r="I125" i="4" s="1"/>
  <c r="D126" i="4"/>
  <c r="E126" i="4"/>
  <c r="D116" i="42"/>
  <c r="G115" i="42"/>
  <c r="I115" i="42" s="1"/>
  <c r="E116" i="42"/>
  <c r="D121" i="31"/>
  <c r="G120" i="31"/>
  <c r="I120" i="31" s="1"/>
  <c r="J120" i="31" s="1"/>
  <c r="E121" i="31"/>
  <c r="D125" i="22"/>
  <c r="G124" i="22"/>
  <c r="I124" i="22" s="1"/>
  <c r="J124" i="22" s="1"/>
  <c r="E125" i="22"/>
  <c r="G115" i="43"/>
  <c r="I115" i="43" s="1"/>
  <c r="J115" i="43" s="1"/>
  <c r="D116" i="43"/>
  <c r="E116" i="43"/>
  <c r="G119" i="30"/>
  <c r="I119" i="30" s="1"/>
  <c r="J119" i="30" s="1"/>
  <c r="D120" i="30"/>
  <c r="E120" i="30"/>
  <c r="G120" i="29"/>
  <c r="I120" i="29" s="1"/>
  <c r="J120" i="29" s="1"/>
  <c r="D121" i="29"/>
  <c r="E121" i="29"/>
  <c r="G126" i="8"/>
  <c r="I126" i="8" s="1"/>
  <c r="J126" i="8" s="1"/>
  <c r="D127" i="8"/>
  <c r="E127" i="8"/>
  <c r="H115" i="44"/>
  <c r="D115" i="46"/>
  <c r="G114" i="46"/>
  <c r="I114" i="46" s="1"/>
  <c r="J114" i="46" s="1"/>
  <c r="E115" i="46"/>
  <c r="H125" i="4"/>
  <c r="D121" i="28"/>
  <c r="G120" i="28"/>
  <c r="I120" i="28" s="1"/>
  <c r="J120" i="28" s="1"/>
  <c r="E121" i="28"/>
  <c r="H125" i="3"/>
  <c r="D128" i="11"/>
  <c r="G127" i="11"/>
  <c r="I127" i="11" s="1"/>
  <c r="J127" i="11" s="1"/>
  <c r="E128" i="11"/>
  <c r="H115" i="42"/>
  <c r="G115" i="45"/>
  <c r="I115" i="45" s="1"/>
  <c r="J115" i="45" s="1"/>
  <c r="D116" i="45"/>
  <c r="E116" i="45"/>
  <c r="J127" i="9" l="1"/>
  <c r="J125" i="3"/>
  <c r="J117" i="37"/>
  <c r="J115" i="42"/>
  <c r="F117" i="38"/>
  <c r="B117" i="38"/>
  <c r="F123" i="24"/>
  <c r="H123" i="24" s="1"/>
  <c r="B123" i="24"/>
  <c r="B122" i="27"/>
  <c r="F122" i="27"/>
  <c r="B127" i="6"/>
  <c r="F127" i="6"/>
  <c r="H127" i="6" s="1"/>
  <c r="B128" i="11"/>
  <c r="F128" i="11"/>
  <c r="H128" i="11" s="1"/>
  <c r="F115" i="46"/>
  <c r="B115" i="46"/>
  <c r="B125" i="22"/>
  <c r="F125" i="22"/>
  <c r="H125" i="22" s="1"/>
  <c r="B126" i="4"/>
  <c r="F126" i="4"/>
  <c r="H126" i="4" s="1"/>
  <c r="B128" i="9"/>
  <c r="F128" i="9"/>
  <c r="H128" i="9" s="1"/>
  <c r="B126" i="5"/>
  <c r="F126" i="5"/>
  <c r="H126" i="5" s="1"/>
  <c r="B129" i="7"/>
  <c r="F129" i="7"/>
  <c r="F120" i="30"/>
  <c r="H120" i="30" s="1"/>
  <c r="B120" i="30"/>
  <c r="J125" i="4"/>
  <c r="F124" i="23"/>
  <c r="H124" i="23" s="1"/>
  <c r="B124" i="23"/>
  <c r="B117" i="41"/>
  <c r="F117" i="41"/>
  <c r="H117" i="41" s="1"/>
  <c r="B118" i="37"/>
  <c r="F118" i="37"/>
  <c r="F125" i="25"/>
  <c r="H125" i="25" s="1"/>
  <c r="B125" i="25"/>
  <c r="F126" i="3"/>
  <c r="H126" i="3" s="1"/>
  <c r="B126" i="3"/>
  <c r="F118" i="39"/>
  <c r="H118" i="39" s="1"/>
  <c r="B118" i="39"/>
  <c r="F121" i="29"/>
  <c r="B121" i="29"/>
  <c r="B116" i="42"/>
  <c r="F116" i="42"/>
  <c r="B116" i="45"/>
  <c r="F116" i="45"/>
  <c r="B127" i="8"/>
  <c r="F127" i="8"/>
  <c r="H127" i="8" s="1"/>
  <c r="B121" i="31"/>
  <c r="F121" i="31"/>
  <c r="J115" i="44"/>
  <c r="D129" i="10"/>
  <c r="G128" i="10"/>
  <c r="I128" i="10" s="1"/>
  <c r="J128" i="10" s="1"/>
  <c r="E129" i="10"/>
  <c r="B121" i="28"/>
  <c r="F121" i="28"/>
  <c r="H121" i="28" s="1"/>
  <c r="F116" i="43"/>
  <c r="H116" i="43" s="1"/>
  <c r="B116" i="43"/>
  <c r="B116" i="44"/>
  <c r="F116" i="44"/>
  <c r="J116" i="38"/>
  <c r="F117" i="40"/>
  <c r="H117" i="40" s="1"/>
  <c r="B117" i="40"/>
  <c r="D122" i="28" l="1"/>
  <c r="G121" i="28"/>
  <c r="I121" i="28" s="1"/>
  <c r="J121" i="28" s="1"/>
  <c r="E122" i="28"/>
  <c r="H116" i="44"/>
  <c r="D117" i="44"/>
  <c r="G116" i="44"/>
  <c r="I116" i="44" s="1"/>
  <c r="E117" i="44"/>
  <c r="G127" i="8"/>
  <c r="I127" i="8" s="1"/>
  <c r="J127" i="8" s="1"/>
  <c r="D128" i="8"/>
  <c r="E128" i="8"/>
  <c r="G129" i="7"/>
  <c r="I129" i="7" s="1"/>
  <c r="D130" i="7"/>
  <c r="E130" i="7"/>
  <c r="G115" i="46"/>
  <c r="I115" i="46" s="1"/>
  <c r="D116" i="46"/>
  <c r="E116" i="46"/>
  <c r="G122" i="27"/>
  <c r="I122" i="27" s="1"/>
  <c r="D123" i="27"/>
  <c r="E123" i="27"/>
  <c r="D117" i="42"/>
  <c r="G116" i="42"/>
  <c r="I116" i="42" s="1"/>
  <c r="E117" i="42"/>
  <c r="G121" i="29"/>
  <c r="I121" i="29" s="1"/>
  <c r="D122" i="29"/>
  <c r="E122" i="29"/>
  <c r="B129" i="10"/>
  <c r="F129" i="10"/>
  <c r="H129" i="10" s="1"/>
  <c r="D126" i="25"/>
  <c r="G125" i="25"/>
  <c r="I125" i="25" s="1"/>
  <c r="J125" i="25" s="1"/>
  <c r="E126" i="25"/>
  <c r="H118" i="37"/>
  <c r="D119" i="37"/>
  <c r="G118" i="37"/>
  <c r="I118" i="37" s="1"/>
  <c r="E119" i="37"/>
  <c r="D127" i="5"/>
  <c r="G126" i="5"/>
  <c r="I126" i="5" s="1"/>
  <c r="J126" i="5" s="1"/>
  <c r="E127" i="5"/>
  <c r="G121" i="31"/>
  <c r="I121" i="31" s="1"/>
  <c r="D122" i="31"/>
  <c r="E122" i="31"/>
  <c r="G126" i="4"/>
  <c r="I126" i="4" s="1"/>
  <c r="J126" i="4" s="1"/>
  <c r="D127" i="4"/>
  <c r="E127" i="4"/>
  <c r="H116" i="45"/>
  <c r="G116" i="45"/>
  <c r="I116" i="45" s="1"/>
  <c r="D117" i="45"/>
  <c r="E117" i="45"/>
  <c r="D125" i="23"/>
  <c r="G124" i="23"/>
  <c r="I124" i="23" s="1"/>
  <c r="J124" i="23" s="1"/>
  <c r="E125" i="23"/>
  <c r="D129" i="11"/>
  <c r="G128" i="11"/>
  <c r="I128" i="11" s="1"/>
  <c r="J128" i="11" s="1"/>
  <c r="E129" i="11"/>
  <c r="G116" i="43"/>
  <c r="I116" i="43" s="1"/>
  <c r="J116" i="43" s="1"/>
  <c r="D117" i="43"/>
  <c r="E117" i="43"/>
  <c r="H121" i="31"/>
  <c r="H116" i="42"/>
  <c r="D119" i="39"/>
  <c r="G118" i="39"/>
  <c r="I118" i="39" s="1"/>
  <c r="J118" i="39" s="1"/>
  <c r="E119" i="39"/>
  <c r="G125" i="22"/>
  <c r="I125" i="22" s="1"/>
  <c r="J125" i="22" s="1"/>
  <c r="D126" i="22"/>
  <c r="E126" i="22"/>
  <c r="G123" i="24"/>
  <c r="I123" i="24" s="1"/>
  <c r="J123" i="24" s="1"/>
  <c r="D124" i="24"/>
  <c r="E124" i="24"/>
  <c r="D128" i="6"/>
  <c r="G127" i="6"/>
  <c r="I127" i="6" s="1"/>
  <c r="J127" i="6" s="1"/>
  <c r="E128" i="6"/>
  <c r="G117" i="41"/>
  <c r="I117" i="41" s="1"/>
  <c r="J117" i="41" s="1"/>
  <c r="D118" i="41"/>
  <c r="E118" i="41"/>
  <c r="G120" i="30"/>
  <c r="I120" i="30" s="1"/>
  <c r="J120" i="30" s="1"/>
  <c r="D121" i="30"/>
  <c r="E121" i="30"/>
  <c r="D129" i="9"/>
  <c r="G128" i="9"/>
  <c r="I128" i="9" s="1"/>
  <c r="J128" i="9" s="1"/>
  <c r="E129" i="9"/>
  <c r="H115" i="46"/>
  <c r="H117" i="38"/>
  <c r="D118" i="38"/>
  <c r="G117" i="38"/>
  <c r="I117" i="38" s="1"/>
  <c r="E118" i="38"/>
  <c r="G117" i="40"/>
  <c r="I117" i="40" s="1"/>
  <c r="J117" i="40" s="1"/>
  <c r="D118" i="40"/>
  <c r="E118" i="40"/>
  <c r="H121" i="29"/>
  <c r="G126" i="3"/>
  <c r="I126" i="3" s="1"/>
  <c r="J126" i="3" s="1"/>
  <c r="D127" i="3"/>
  <c r="E127" i="3"/>
  <c r="H129" i="7"/>
  <c r="H122" i="27"/>
  <c r="J116" i="44" l="1"/>
  <c r="J121" i="31"/>
  <c r="J116" i="45"/>
  <c r="J121" i="29"/>
  <c r="F129" i="9"/>
  <c r="B129" i="9"/>
  <c r="H129" i="9"/>
  <c r="J115" i="46"/>
  <c r="B117" i="43"/>
  <c r="F117" i="43"/>
  <c r="H117" i="43" s="1"/>
  <c r="F117" i="45"/>
  <c r="B117" i="45"/>
  <c r="B128" i="6"/>
  <c r="F128" i="6"/>
  <c r="H128" i="6" s="1"/>
  <c r="F126" i="25"/>
  <c r="H126" i="25" s="1"/>
  <c r="B126" i="25"/>
  <c r="J116" i="42"/>
  <c r="F117" i="44"/>
  <c r="H117" i="44" s="1"/>
  <c r="B117" i="44"/>
  <c r="B126" i="22"/>
  <c r="F126" i="22"/>
  <c r="H126" i="22" s="1"/>
  <c r="F116" i="46"/>
  <c r="B116" i="46"/>
  <c r="J117" i="38"/>
  <c r="B121" i="30"/>
  <c r="F121" i="30"/>
  <c r="F119" i="39"/>
  <c r="H119" i="39" s="1"/>
  <c r="B119" i="39"/>
  <c r="F129" i="11"/>
  <c r="H129" i="11" s="1"/>
  <c r="B129" i="11"/>
  <c r="F127" i="5"/>
  <c r="B127" i="5"/>
  <c r="F117" i="42"/>
  <c r="H117" i="42" s="1"/>
  <c r="B117" i="42"/>
  <c r="F130" i="7"/>
  <c r="H130" i="7" s="1"/>
  <c r="B130" i="7"/>
  <c r="F127" i="3"/>
  <c r="H127" i="3" s="1"/>
  <c r="B127" i="3"/>
  <c r="F118" i="38"/>
  <c r="B118" i="38"/>
  <c r="B124" i="24"/>
  <c r="F124" i="24"/>
  <c r="H124" i="24" s="1"/>
  <c r="B127" i="4"/>
  <c r="F127" i="4"/>
  <c r="H127" i="4" s="1"/>
  <c r="D130" i="10"/>
  <c r="G129" i="10"/>
  <c r="I129" i="10" s="1"/>
  <c r="J129" i="10" s="1"/>
  <c r="E130" i="10"/>
  <c r="J129" i="7"/>
  <c r="B122" i="31"/>
  <c r="F122" i="31"/>
  <c r="J118" i="37"/>
  <c r="B123" i="27"/>
  <c r="F123" i="27"/>
  <c r="B122" i="29"/>
  <c r="F122" i="29"/>
  <c r="H122" i="29" s="1"/>
  <c r="B118" i="40"/>
  <c r="F118" i="40"/>
  <c r="F118" i="41"/>
  <c r="B118" i="41"/>
  <c r="B125" i="23"/>
  <c r="F125" i="23"/>
  <c r="F119" i="37"/>
  <c r="B119" i="37"/>
  <c r="J122" i="27"/>
  <c r="B128" i="8"/>
  <c r="F128" i="8"/>
  <c r="H128" i="8" s="1"/>
  <c r="F122" i="28"/>
  <c r="H122" i="28" s="1"/>
  <c r="B122" i="28"/>
  <c r="B130" i="10" l="1"/>
  <c r="F130" i="10"/>
  <c r="H130" i="10" s="1"/>
  <c r="D117" i="46"/>
  <c r="G116" i="46"/>
  <c r="I116" i="46" s="1"/>
  <c r="E117" i="46"/>
  <c r="D118" i="45"/>
  <c r="G117" i="45"/>
  <c r="I117" i="45" s="1"/>
  <c r="E118" i="45"/>
  <c r="D129" i="8"/>
  <c r="G128" i="8"/>
  <c r="I128" i="8" s="1"/>
  <c r="J128" i="8" s="1"/>
  <c r="E129" i="8"/>
  <c r="H118" i="41"/>
  <c r="D119" i="41"/>
  <c r="G118" i="41"/>
  <c r="I118" i="41" s="1"/>
  <c r="E119" i="41"/>
  <c r="D119" i="38"/>
  <c r="G118" i="38"/>
  <c r="I118" i="38" s="1"/>
  <c r="E119" i="38"/>
  <c r="H118" i="40"/>
  <c r="D119" i="40"/>
  <c r="G118" i="40"/>
  <c r="I118" i="40" s="1"/>
  <c r="E119" i="40"/>
  <c r="D128" i="4"/>
  <c r="G127" i="4"/>
  <c r="I127" i="4" s="1"/>
  <c r="J127" i="4" s="1"/>
  <c r="E128" i="4"/>
  <c r="D118" i="42"/>
  <c r="G117" i="42"/>
  <c r="I117" i="42" s="1"/>
  <c r="J117" i="42" s="1"/>
  <c r="E118" i="42"/>
  <c r="D120" i="39"/>
  <c r="G119" i="39"/>
  <c r="I119" i="39" s="1"/>
  <c r="J119" i="39" s="1"/>
  <c r="E120" i="39"/>
  <c r="G126" i="22"/>
  <c r="I126" i="22" s="1"/>
  <c r="J126" i="22" s="1"/>
  <c r="D127" i="22"/>
  <c r="E127" i="22"/>
  <c r="D127" i="25"/>
  <c r="G126" i="25"/>
  <c r="I126" i="25" s="1"/>
  <c r="J126" i="25" s="1"/>
  <c r="E127" i="25"/>
  <c r="D118" i="43"/>
  <c r="G117" i="43"/>
  <c r="I117" i="43" s="1"/>
  <c r="J117" i="43" s="1"/>
  <c r="E118" i="43"/>
  <c r="D124" i="27"/>
  <c r="G123" i="27"/>
  <c r="I123" i="27" s="1"/>
  <c r="E124" i="27"/>
  <c r="H121" i="30"/>
  <c r="D122" i="30"/>
  <c r="G121" i="30"/>
  <c r="I121" i="30" s="1"/>
  <c r="E122" i="30"/>
  <c r="D128" i="3"/>
  <c r="G127" i="3"/>
  <c r="I127" i="3" s="1"/>
  <c r="J127" i="3" s="1"/>
  <c r="E128" i="3"/>
  <c r="H127" i="5"/>
  <c r="G127" i="5"/>
  <c r="I127" i="5" s="1"/>
  <c r="D128" i="5"/>
  <c r="E128" i="5"/>
  <c r="D129" i="6"/>
  <c r="G128" i="6"/>
  <c r="I128" i="6" s="1"/>
  <c r="J128" i="6" s="1"/>
  <c r="E129" i="6"/>
  <c r="H122" i="31"/>
  <c r="D123" i="31"/>
  <c r="G122" i="31"/>
  <c r="I122" i="31" s="1"/>
  <c r="E123" i="31"/>
  <c r="G122" i="29"/>
  <c r="I122" i="29" s="1"/>
  <c r="J122" i="29" s="1"/>
  <c r="D123" i="29"/>
  <c r="E123" i="29"/>
  <c r="D125" i="24"/>
  <c r="G124" i="24"/>
  <c r="I124" i="24" s="1"/>
  <c r="J124" i="24" s="1"/>
  <c r="E125" i="24"/>
  <c r="H125" i="23"/>
  <c r="D126" i="23"/>
  <c r="G125" i="23"/>
  <c r="I125" i="23" s="1"/>
  <c r="E126" i="23"/>
  <c r="H116" i="46"/>
  <c r="G117" i="44"/>
  <c r="I117" i="44" s="1"/>
  <c r="J117" i="44" s="1"/>
  <c r="D118" i="44"/>
  <c r="E118" i="44"/>
  <c r="H117" i="45"/>
  <c r="H119" i="37"/>
  <c r="G119" i="37"/>
  <c r="I119" i="37" s="1"/>
  <c r="D120" i="37"/>
  <c r="E120" i="37"/>
  <c r="G122" i="28"/>
  <c r="I122" i="28" s="1"/>
  <c r="J122" i="28" s="1"/>
  <c r="D123" i="28"/>
  <c r="E123" i="28"/>
  <c r="H123" i="27"/>
  <c r="H118" i="38"/>
  <c r="G130" i="7"/>
  <c r="I130" i="7" s="1"/>
  <c r="J130" i="7" s="1"/>
  <c r="D131" i="7"/>
  <c r="E131" i="7"/>
  <c r="D130" i="11"/>
  <c r="G129" i="11"/>
  <c r="I129" i="11" s="1"/>
  <c r="J129" i="11" s="1"/>
  <c r="E130" i="11"/>
  <c r="G129" i="9"/>
  <c r="I129" i="9" s="1"/>
  <c r="J129" i="9" s="1"/>
  <c r="D130" i="9"/>
  <c r="E130" i="9"/>
  <c r="J119" i="37" l="1"/>
  <c r="J121" i="30"/>
  <c r="J118" i="41"/>
  <c r="J122" i="31"/>
  <c r="J127" i="5"/>
  <c r="F129" i="6"/>
  <c r="H129" i="6" s="1"/>
  <c r="B129" i="6"/>
  <c r="B118" i="45"/>
  <c r="F118" i="45"/>
  <c r="H118" i="45" s="1"/>
  <c r="B130" i="9"/>
  <c r="F130" i="9"/>
  <c r="B126" i="23"/>
  <c r="F126" i="23"/>
  <c r="H126" i="23" s="1"/>
  <c r="F128" i="5"/>
  <c r="B128" i="5"/>
  <c r="B122" i="30"/>
  <c r="F122" i="30"/>
  <c r="F120" i="39"/>
  <c r="H120" i="39" s="1"/>
  <c r="B120" i="39"/>
  <c r="J118" i="40"/>
  <c r="F119" i="41"/>
  <c r="H119" i="41" s="1"/>
  <c r="B119" i="41"/>
  <c r="B119" i="40"/>
  <c r="F119" i="40"/>
  <c r="H119" i="40" s="1"/>
  <c r="J116" i="46"/>
  <c r="B120" i="37"/>
  <c r="F120" i="37"/>
  <c r="H120" i="37" s="1"/>
  <c r="F123" i="29"/>
  <c r="B123" i="29"/>
  <c r="J117" i="45"/>
  <c r="B123" i="31"/>
  <c r="F123" i="31"/>
  <c r="H123" i="31" s="1"/>
  <c r="B127" i="25"/>
  <c r="F127" i="25"/>
  <c r="H127" i="25" s="1"/>
  <c r="F117" i="46"/>
  <c r="B117" i="46"/>
  <c r="F131" i="7"/>
  <c r="H131" i="7" s="1"/>
  <c r="B131" i="7"/>
  <c r="B128" i="4"/>
  <c r="F128" i="4"/>
  <c r="J125" i="23"/>
  <c r="B118" i="43"/>
  <c r="F118" i="43"/>
  <c r="H118" i="43" s="1"/>
  <c r="F123" i="28"/>
  <c r="H123" i="28" s="1"/>
  <c r="B123" i="28"/>
  <c r="F118" i="44"/>
  <c r="B118" i="44"/>
  <c r="J123" i="27"/>
  <c r="B118" i="42"/>
  <c r="F118" i="42"/>
  <c r="H118" i="42" s="1"/>
  <c r="B130" i="11"/>
  <c r="F130" i="11"/>
  <c r="F125" i="24"/>
  <c r="H125" i="24" s="1"/>
  <c r="B125" i="24"/>
  <c r="F124" i="27"/>
  <c r="H124" i="27" s="1"/>
  <c r="B124" i="27"/>
  <c r="B127" i="22"/>
  <c r="F127" i="22"/>
  <c r="H127" i="22" s="1"/>
  <c r="J118" i="38"/>
  <c r="F129" i="8"/>
  <c r="H129" i="8" s="1"/>
  <c r="B129" i="8"/>
  <c r="D131" i="10"/>
  <c r="G130" i="10"/>
  <c r="I130" i="10" s="1"/>
  <c r="J130" i="10" s="1"/>
  <c r="E131" i="10"/>
  <c r="F128" i="3"/>
  <c r="H128" i="3" s="1"/>
  <c r="B128" i="3"/>
  <c r="B119" i="38"/>
  <c r="F119" i="38"/>
  <c r="H119" i="38" s="1"/>
  <c r="D128" i="22" l="1"/>
  <c r="G127" i="22"/>
  <c r="I127" i="22" s="1"/>
  <c r="J127" i="22" s="1"/>
  <c r="E128" i="22"/>
  <c r="H130" i="11"/>
  <c r="D131" i="11"/>
  <c r="G130" i="11"/>
  <c r="I130" i="11" s="1"/>
  <c r="E131" i="11"/>
  <c r="G118" i="44"/>
  <c r="I118" i="44" s="1"/>
  <c r="D119" i="44"/>
  <c r="E119" i="44"/>
  <c r="H128" i="4"/>
  <c r="D129" i="4"/>
  <c r="G128" i="4"/>
  <c r="I128" i="4" s="1"/>
  <c r="E129" i="4"/>
  <c r="D128" i="25"/>
  <c r="G127" i="25"/>
  <c r="I127" i="25" s="1"/>
  <c r="J127" i="25" s="1"/>
  <c r="E128" i="25"/>
  <c r="G123" i="29"/>
  <c r="I123" i="29" s="1"/>
  <c r="D124" i="29"/>
  <c r="E124" i="29"/>
  <c r="D123" i="30"/>
  <c r="G122" i="30"/>
  <c r="I122" i="30" s="1"/>
  <c r="E123" i="30"/>
  <c r="G130" i="9"/>
  <c r="I130" i="9" s="1"/>
  <c r="D131" i="9"/>
  <c r="E131" i="9"/>
  <c r="G123" i="31"/>
  <c r="I123" i="31" s="1"/>
  <c r="J123" i="31" s="1"/>
  <c r="D124" i="31"/>
  <c r="E124" i="31"/>
  <c r="H128" i="5"/>
  <c r="D129" i="5"/>
  <c r="G128" i="5"/>
  <c r="I128" i="5" s="1"/>
  <c r="E129" i="5"/>
  <c r="D119" i="45"/>
  <c r="G118" i="45"/>
  <c r="I118" i="45" s="1"/>
  <c r="J118" i="45" s="1"/>
  <c r="E119" i="45"/>
  <c r="D121" i="37"/>
  <c r="G120" i="37"/>
  <c r="I120" i="37" s="1"/>
  <c r="J120" i="37" s="1"/>
  <c r="E121" i="37"/>
  <c r="G124" i="27"/>
  <c r="I124" i="27" s="1"/>
  <c r="J124" i="27" s="1"/>
  <c r="D125" i="27"/>
  <c r="E125" i="27"/>
  <c r="D132" i="7"/>
  <c r="G131" i="7"/>
  <c r="I131" i="7" s="1"/>
  <c r="J131" i="7" s="1"/>
  <c r="E132" i="7"/>
  <c r="F131" i="10"/>
  <c r="H131" i="10" s="1"/>
  <c r="B131" i="10"/>
  <c r="G119" i="41"/>
  <c r="I119" i="41" s="1"/>
  <c r="J119" i="41" s="1"/>
  <c r="D120" i="41"/>
  <c r="E120" i="41"/>
  <c r="G123" i="28"/>
  <c r="I123" i="28" s="1"/>
  <c r="J123" i="28" s="1"/>
  <c r="D124" i="28"/>
  <c r="E124" i="28"/>
  <c r="G129" i="8"/>
  <c r="I129" i="8" s="1"/>
  <c r="J129" i="8" s="1"/>
  <c r="D130" i="8"/>
  <c r="E130" i="8"/>
  <c r="G118" i="43"/>
  <c r="I118" i="43" s="1"/>
  <c r="J118" i="43" s="1"/>
  <c r="D119" i="43"/>
  <c r="E119" i="43"/>
  <c r="D127" i="23"/>
  <c r="G126" i="23"/>
  <c r="I126" i="23" s="1"/>
  <c r="J126" i="23" s="1"/>
  <c r="E127" i="23"/>
  <c r="G119" i="38"/>
  <c r="I119" i="38" s="1"/>
  <c r="J119" i="38" s="1"/>
  <c r="D120" i="38"/>
  <c r="E120" i="38"/>
  <c r="G118" i="42"/>
  <c r="I118" i="42" s="1"/>
  <c r="J118" i="42" s="1"/>
  <c r="D119" i="42"/>
  <c r="E119" i="42"/>
  <c r="H118" i="44"/>
  <c r="H117" i="46"/>
  <c r="G117" i="46"/>
  <c r="I117" i="46" s="1"/>
  <c r="D118" i="46"/>
  <c r="E118" i="46"/>
  <c r="H123" i="29"/>
  <c r="G119" i="40"/>
  <c r="I119" i="40" s="1"/>
  <c r="J119" i="40" s="1"/>
  <c r="D120" i="40"/>
  <c r="E120" i="40"/>
  <c r="G120" i="39"/>
  <c r="I120" i="39" s="1"/>
  <c r="J120" i="39" s="1"/>
  <c r="D121" i="39"/>
  <c r="E121" i="39"/>
  <c r="D129" i="3"/>
  <c r="G128" i="3"/>
  <c r="I128" i="3" s="1"/>
  <c r="J128" i="3" s="1"/>
  <c r="E129" i="3"/>
  <c r="G125" i="24"/>
  <c r="I125" i="24" s="1"/>
  <c r="J125" i="24" s="1"/>
  <c r="D126" i="24"/>
  <c r="E126" i="24"/>
  <c r="H122" i="30"/>
  <c r="H130" i="9"/>
  <c r="G129" i="6"/>
  <c r="I129" i="6" s="1"/>
  <c r="J129" i="6" s="1"/>
  <c r="D130" i="6"/>
  <c r="E130" i="6"/>
  <c r="J130" i="11" l="1"/>
  <c r="J155" i="11" s="1"/>
  <c r="J117" i="46"/>
  <c r="J128" i="5"/>
  <c r="J130" i="9"/>
  <c r="J155" i="9" s="1"/>
  <c r="J128" i="4"/>
  <c r="J118" i="44"/>
  <c r="D132" i="10"/>
  <c r="G131" i="10"/>
  <c r="I131" i="10" s="1"/>
  <c r="J131" i="10" s="1"/>
  <c r="E132" i="10"/>
  <c r="J122" i="30"/>
  <c r="F121" i="39"/>
  <c r="H121" i="39" s="1"/>
  <c r="B121" i="39"/>
  <c r="F120" i="40"/>
  <c r="H120" i="40" s="1"/>
  <c r="B120" i="40"/>
  <c r="F127" i="23"/>
  <c r="B127" i="23"/>
  <c r="B124" i="28"/>
  <c r="F124" i="28"/>
  <c r="H124" i="28" s="1"/>
  <c r="B121" i="37"/>
  <c r="F121" i="37"/>
  <c r="H121" i="37" s="1"/>
  <c r="F123" i="30"/>
  <c r="H123" i="30" s="1"/>
  <c r="B123" i="30"/>
  <c r="B131" i="11"/>
  <c r="F131" i="11"/>
  <c r="B119" i="42"/>
  <c r="F119" i="42"/>
  <c r="H119" i="42" s="1"/>
  <c r="B124" i="31"/>
  <c r="F124" i="31"/>
  <c r="H124" i="31" s="1"/>
  <c r="F129" i="4"/>
  <c r="B129" i="4"/>
  <c r="B128" i="25"/>
  <c r="F128" i="25"/>
  <c r="H128" i="25" s="1"/>
  <c r="F119" i="43"/>
  <c r="B119" i="43"/>
  <c r="B132" i="7"/>
  <c r="F132" i="7"/>
  <c r="H132" i="7" s="1"/>
  <c r="F124" i="29"/>
  <c r="H124" i="29" s="1"/>
  <c r="B124" i="29"/>
  <c r="F129" i="5"/>
  <c r="B129" i="5"/>
  <c r="F126" i="24"/>
  <c r="B126" i="24"/>
  <c r="B129" i="3"/>
  <c r="F129" i="3"/>
  <c r="H129" i="3" s="1"/>
  <c r="F120" i="41"/>
  <c r="B120" i="41"/>
  <c r="F119" i="45"/>
  <c r="B119" i="45"/>
  <c r="J123" i="29"/>
  <c r="B130" i="8"/>
  <c r="F130" i="8"/>
  <c r="B130" i="6"/>
  <c r="F130" i="6"/>
  <c r="B118" i="46"/>
  <c r="F118" i="46"/>
  <c r="F120" i="38"/>
  <c r="H120" i="38" s="1"/>
  <c r="B120" i="38"/>
  <c r="F125" i="27"/>
  <c r="H125" i="27" s="1"/>
  <c r="B125" i="27"/>
  <c r="F131" i="9"/>
  <c r="B131" i="9"/>
  <c r="F119" i="44"/>
  <c r="B119" i="44"/>
  <c r="B128" i="22"/>
  <c r="F128" i="22"/>
  <c r="H128" i="22" s="1"/>
  <c r="D125" i="28" l="1"/>
  <c r="G124" i="28"/>
  <c r="I124" i="28" s="1"/>
  <c r="J124" i="28" s="1"/>
  <c r="E125" i="28"/>
  <c r="H130" i="6"/>
  <c r="G130" i="6"/>
  <c r="I130" i="6" s="1"/>
  <c r="D131" i="6"/>
  <c r="E131" i="6"/>
  <c r="D129" i="22"/>
  <c r="G128" i="22"/>
  <c r="I128" i="22" s="1"/>
  <c r="J128" i="22" s="1"/>
  <c r="E129" i="22"/>
  <c r="H120" i="41"/>
  <c r="D121" i="41"/>
  <c r="G120" i="41"/>
  <c r="I120" i="41" s="1"/>
  <c r="E121" i="41"/>
  <c r="H129" i="5"/>
  <c r="D130" i="5"/>
  <c r="G129" i="5"/>
  <c r="I129" i="5" s="1"/>
  <c r="E130" i="5"/>
  <c r="H119" i="43"/>
  <c r="G119" i="43"/>
  <c r="I119" i="43" s="1"/>
  <c r="D120" i="43"/>
  <c r="E120" i="43"/>
  <c r="G124" i="31"/>
  <c r="I124" i="31" s="1"/>
  <c r="J124" i="31" s="1"/>
  <c r="D125" i="31"/>
  <c r="E125" i="31"/>
  <c r="G121" i="39"/>
  <c r="I121" i="39" s="1"/>
  <c r="J121" i="39" s="1"/>
  <c r="D122" i="39"/>
  <c r="E122" i="39"/>
  <c r="D127" i="24"/>
  <c r="G126" i="24"/>
  <c r="I126" i="24" s="1"/>
  <c r="E127" i="24"/>
  <c r="D130" i="4"/>
  <c r="G129" i="4"/>
  <c r="I129" i="4" s="1"/>
  <c r="E130" i="4"/>
  <c r="G125" i="27"/>
  <c r="I125" i="27" s="1"/>
  <c r="J125" i="27" s="1"/>
  <c r="D126" i="27"/>
  <c r="E126" i="27"/>
  <c r="D130" i="3"/>
  <c r="G129" i="3"/>
  <c r="I129" i="3" s="1"/>
  <c r="J129" i="3" s="1"/>
  <c r="E130" i="3"/>
  <c r="D129" i="25"/>
  <c r="G128" i="25"/>
  <c r="I128" i="25" s="1"/>
  <c r="J128" i="25" s="1"/>
  <c r="E129" i="25"/>
  <c r="D124" i="30"/>
  <c r="G123" i="30"/>
  <c r="I123" i="30" s="1"/>
  <c r="J123" i="30" s="1"/>
  <c r="E124" i="30"/>
  <c r="H127" i="23"/>
  <c r="G127" i="23"/>
  <c r="I127" i="23" s="1"/>
  <c r="D128" i="23"/>
  <c r="E128" i="23"/>
  <c r="G131" i="11"/>
  <c r="I131" i="11" s="1"/>
  <c r="D132" i="11"/>
  <c r="E132" i="11"/>
  <c r="H119" i="44"/>
  <c r="D120" i="44"/>
  <c r="G119" i="44"/>
  <c r="I119" i="44" s="1"/>
  <c r="E120" i="44"/>
  <c r="D125" i="29"/>
  <c r="G124" i="29"/>
  <c r="I124" i="29" s="1"/>
  <c r="J124" i="29" s="1"/>
  <c r="E125" i="29"/>
  <c r="D120" i="42"/>
  <c r="G119" i="42"/>
  <c r="I119" i="42" s="1"/>
  <c r="J119" i="42" s="1"/>
  <c r="E120" i="42"/>
  <c r="D132" i="9"/>
  <c r="G131" i="9"/>
  <c r="I131" i="9" s="1"/>
  <c r="E132" i="9"/>
  <c r="D120" i="45"/>
  <c r="G119" i="45"/>
  <c r="I119" i="45" s="1"/>
  <c r="E120" i="45"/>
  <c r="H131" i="9"/>
  <c r="D121" i="38"/>
  <c r="G120" i="38"/>
  <c r="I120" i="38" s="1"/>
  <c r="J120" i="38" s="1"/>
  <c r="E121" i="38"/>
  <c r="H119" i="45"/>
  <c r="H126" i="24"/>
  <c r="H129" i="4"/>
  <c r="G121" i="37"/>
  <c r="I121" i="37" s="1"/>
  <c r="J121" i="37" s="1"/>
  <c r="D122" i="37"/>
  <c r="E122" i="37"/>
  <c r="F132" i="10"/>
  <c r="B132" i="10"/>
  <c r="H130" i="8"/>
  <c r="D131" i="8"/>
  <c r="G130" i="8"/>
  <c r="I130" i="8" s="1"/>
  <c r="E131" i="8"/>
  <c r="H118" i="46"/>
  <c r="D119" i="46"/>
  <c r="G118" i="46"/>
  <c r="I118" i="46" s="1"/>
  <c r="E119" i="46"/>
  <c r="D133" i="7"/>
  <c r="G132" i="7"/>
  <c r="I132" i="7" s="1"/>
  <c r="J132" i="7" s="1"/>
  <c r="E133" i="7"/>
  <c r="H131" i="11"/>
  <c r="G120" i="40"/>
  <c r="I120" i="40" s="1"/>
  <c r="J120" i="40" s="1"/>
  <c r="D121" i="40"/>
  <c r="E121" i="40"/>
  <c r="J130" i="6" l="1"/>
  <c r="J130" i="8"/>
  <c r="J120" i="41"/>
  <c r="J126" i="24"/>
  <c r="J119" i="43"/>
  <c r="J118" i="46"/>
  <c r="H132" i="10"/>
  <c r="G132" i="10"/>
  <c r="I132" i="10" s="1"/>
  <c r="D133" i="10"/>
  <c r="E133" i="10"/>
  <c r="B132" i="9"/>
  <c r="F132" i="9"/>
  <c r="J119" i="44"/>
  <c r="J127" i="23"/>
  <c r="F130" i="4"/>
  <c r="H130" i="4" s="1"/>
  <c r="B130" i="4"/>
  <c r="B125" i="31"/>
  <c r="F125" i="31"/>
  <c r="H125" i="31" s="1"/>
  <c r="F130" i="5"/>
  <c r="B130" i="5"/>
  <c r="B129" i="22"/>
  <c r="F129" i="22"/>
  <c r="H129" i="22" s="1"/>
  <c r="B120" i="42"/>
  <c r="F120" i="42"/>
  <c r="H120" i="42" s="1"/>
  <c r="B127" i="24"/>
  <c r="F127" i="24"/>
  <c r="H127" i="24" s="1"/>
  <c r="B120" i="43"/>
  <c r="F120" i="43"/>
  <c r="H120" i="43" s="1"/>
  <c r="B121" i="40"/>
  <c r="F121" i="40"/>
  <c r="B130" i="3"/>
  <c r="F130" i="3"/>
  <c r="H130" i="3" s="1"/>
  <c r="B131" i="6"/>
  <c r="F131" i="6"/>
  <c r="J119" i="45"/>
  <c r="F124" i="30"/>
  <c r="B124" i="30"/>
  <c r="B126" i="27"/>
  <c r="F126" i="27"/>
  <c r="H126" i="27" s="1"/>
  <c r="B121" i="41"/>
  <c r="F121" i="41"/>
  <c r="F120" i="44"/>
  <c r="B120" i="44"/>
  <c r="F122" i="37"/>
  <c r="H122" i="37" s="1"/>
  <c r="B122" i="37"/>
  <c r="F132" i="11"/>
  <c r="B132" i="11"/>
  <c r="B131" i="8"/>
  <c r="F131" i="8"/>
  <c r="H131" i="8" s="1"/>
  <c r="B120" i="45"/>
  <c r="F120" i="45"/>
  <c r="B122" i="39"/>
  <c r="F122" i="39"/>
  <c r="F119" i="46"/>
  <c r="B119" i="46"/>
  <c r="B133" i="7"/>
  <c r="F133" i="7"/>
  <c r="H133" i="7" s="1"/>
  <c r="B125" i="29"/>
  <c r="F125" i="29"/>
  <c r="H125" i="29" s="1"/>
  <c r="F121" i="38"/>
  <c r="B121" i="38"/>
  <c r="B128" i="23"/>
  <c r="F128" i="23"/>
  <c r="H128" i="23" s="1"/>
  <c r="B129" i="25"/>
  <c r="F129" i="25"/>
  <c r="H129" i="25" s="1"/>
  <c r="J129" i="4"/>
  <c r="J129" i="5"/>
  <c r="B125" i="28"/>
  <c r="F125" i="28"/>
  <c r="H125" i="28" s="1"/>
  <c r="J132" i="10" l="1"/>
  <c r="D122" i="41"/>
  <c r="G121" i="41"/>
  <c r="I121" i="41" s="1"/>
  <c r="E122" i="41"/>
  <c r="H121" i="38"/>
  <c r="G121" i="38"/>
  <c r="I121" i="38" s="1"/>
  <c r="D122" i="38"/>
  <c r="E122" i="38"/>
  <c r="H121" i="41"/>
  <c r="D125" i="30"/>
  <c r="G124" i="30"/>
  <c r="I124" i="30" s="1"/>
  <c r="E125" i="30"/>
  <c r="G121" i="40"/>
  <c r="I121" i="40" s="1"/>
  <c r="D122" i="40"/>
  <c r="E122" i="40"/>
  <c r="D131" i="5"/>
  <c r="G130" i="5"/>
  <c r="I130" i="5" s="1"/>
  <c r="E131" i="5"/>
  <c r="H131" i="6"/>
  <c r="G131" i="6"/>
  <c r="I131" i="6" s="1"/>
  <c r="D132" i="6"/>
  <c r="E132" i="6"/>
  <c r="G120" i="43"/>
  <c r="I120" i="43" s="1"/>
  <c r="J120" i="43" s="1"/>
  <c r="D121" i="43"/>
  <c r="E121" i="43"/>
  <c r="D130" i="25"/>
  <c r="G129" i="25"/>
  <c r="I129" i="25" s="1"/>
  <c r="J129" i="25" s="1"/>
  <c r="E130" i="25"/>
  <c r="G125" i="29"/>
  <c r="I125" i="29" s="1"/>
  <c r="J125" i="29" s="1"/>
  <c r="D126" i="29"/>
  <c r="E126" i="29"/>
  <c r="H132" i="11"/>
  <c r="G132" i="11"/>
  <c r="I132" i="11" s="1"/>
  <c r="D133" i="11"/>
  <c r="E133" i="11"/>
  <c r="D126" i="31"/>
  <c r="G125" i="31"/>
  <c r="I125" i="31" s="1"/>
  <c r="J125" i="31" s="1"/>
  <c r="E126" i="31"/>
  <c r="H120" i="45"/>
  <c r="G120" i="45"/>
  <c r="I120" i="45" s="1"/>
  <c r="D121" i="45"/>
  <c r="E121" i="45"/>
  <c r="D127" i="27"/>
  <c r="G126" i="27"/>
  <c r="I126" i="27" s="1"/>
  <c r="J126" i="27" s="1"/>
  <c r="E127" i="27"/>
  <c r="D130" i="22"/>
  <c r="G129" i="22"/>
  <c r="I129" i="22" s="1"/>
  <c r="J129" i="22" s="1"/>
  <c r="E130" i="22"/>
  <c r="F133" i="10"/>
  <c r="B133" i="10"/>
  <c r="D129" i="23"/>
  <c r="G128" i="23"/>
  <c r="I128" i="23" s="1"/>
  <c r="J128" i="23" s="1"/>
  <c r="E129" i="23"/>
  <c r="D134" i="7"/>
  <c r="G133" i="7"/>
  <c r="I133" i="7" s="1"/>
  <c r="J133" i="7" s="1"/>
  <c r="E134" i="7"/>
  <c r="D123" i="37"/>
  <c r="G122" i="37"/>
  <c r="I122" i="37" s="1"/>
  <c r="J122" i="37" s="1"/>
  <c r="E123" i="37"/>
  <c r="G130" i="3"/>
  <c r="I130" i="3" s="1"/>
  <c r="J130" i="3" s="1"/>
  <c r="D131" i="3"/>
  <c r="E131" i="3"/>
  <c r="H124" i="30"/>
  <c r="D128" i="24"/>
  <c r="G127" i="24"/>
  <c r="I127" i="24" s="1"/>
  <c r="J127" i="24" s="1"/>
  <c r="E128" i="24"/>
  <c r="H130" i="5"/>
  <c r="D131" i="4"/>
  <c r="G130" i="4"/>
  <c r="I130" i="4" s="1"/>
  <c r="J130" i="4" s="1"/>
  <c r="E131" i="4"/>
  <c r="D120" i="46"/>
  <c r="G119" i="46"/>
  <c r="I119" i="46" s="1"/>
  <c r="E120" i="46"/>
  <c r="G120" i="42"/>
  <c r="I120" i="42" s="1"/>
  <c r="J120" i="42" s="1"/>
  <c r="D121" i="42"/>
  <c r="E121" i="42"/>
  <c r="H132" i="9"/>
  <c r="D133" i="9"/>
  <c r="G132" i="9"/>
  <c r="I132" i="9" s="1"/>
  <c r="E133" i="9"/>
  <c r="H122" i="39"/>
  <c r="G122" i="39"/>
  <c r="I122" i="39" s="1"/>
  <c r="D123" i="39"/>
  <c r="E123" i="39"/>
  <c r="D126" i="28"/>
  <c r="G125" i="28"/>
  <c r="I125" i="28" s="1"/>
  <c r="J125" i="28" s="1"/>
  <c r="E126" i="28"/>
  <c r="H119" i="46"/>
  <c r="G131" i="8"/>
  <c r="I131" i="8" s="1"/>
  <c r="J131" i="8" s="1"/>
  <c r="D132" i="8"/>
  <c r="E132" i="8"/>
  <c r="H120" i="44"/>
  <c r="D121" i="44"/>
  <c r="G120" i="44"/>
  <c r="I120" i="44" s="1"/>
  <c r="E121" i="44"/>
  <c r="H121" i="40"/>
  <c r="J121" i="38" l="1"/>
  <c r="J130" i="5"/>
  <c r="J120" i="44"/>
  <c r="J120" i="45"/>
  <c r="J131" i="6"/>
  <c r="G133" i="10"/>
  <c r="I133" i="10" s="1"/>
  <c r="D134" i="10"/>
  <c r="E134" i="10"/>
  <c r="B120" i="46"/>
  <c r="F120" i="46"/>
  <c r="H120" i="46" s="1"/>
  <c r="B131" i="5"/>
  <c r="F131" i="5"/>
  <c r="B122" i="38"/>
  <c r="F122" i="38"/>
  <c r="H122" i="38" s="1"/>
  <c r="B130" i="22"/>
  <c r="F130" i="22"/>
  <c r="H130" i="22" s="1"/>
  <c r="B126" i="29"/>
  <c r="F126" i="29"/>
  <c r="F122" i="40"/>
  <c r="H122" i="40" s="1"/>
  <c r="B122" i="40"/>
  <c r="B128" i="24"/>
  <c r="F128" i="24"/>
  <c r="H128" i="24" s="1"/>
  <c r="F134" i="7"/>
  <c r="B134" i="7"/>
  <c r="B121" i="44"/>
  <c r="F121" i="44"/>
  <c r="B131" i="4"/>
  <c r="F131" i="4"/>
  <c r="H131" i="4" s="1"/>
  <c r="B132" i="6"/>
  <c r="F132" i="6"/>
  <c r="J121" i="40"/>
  <c r="J119" i="46"/>
  <c r="B121" i="43"/>
  <c r="F121" i="43"/>
  <c r="H121" i="43" s="1"/>
  <c r="B126" i="28"/>
  <c r="F126" i="28"/>
  <c r="H126" i="28" s="1"/>
  <c r="F123" i="39"/>
  <c r="H123" i="39" s="1"/>
  <c r="B123" i="39"/>
  <c r="B129" i="23"/>
  <c r="F129" i="23"/>
  <c r="H129" i="23" s="1"/>
  <c r="B126" i="31"/>
  <c r="F126" i="31"/>
  <c r="B121" i="45"/>
  <c r="F121" i="45"/>
  <c r="H121" i="45" s="1"/>
  <c r="B133" i="9"/>
  <c r="F133" i="9"/>
  <c r="H133" i="9" s="1"/>
  <c r="F131" i="3"/>
  <c r="B131" i="3"/>
  <c r="F121" i="42"/>
  <c r="H121" i="42" s="1"/>
  <c r="B121" i="42"/>
  <c r="B132" i="8"/>
  <c r="F132" i="8"/>
  <c r="H132" i="8" s="1"/>
  <c r="J122" i="39"/>
  <c r="H133" i="10"/>
  <c r="B127" i="27"/>
  <c r="F127" i="27"/>
  <c r="J124" i="30"/>
  <c r="J121" i="41"/>
  <c r="B123" i="37"/>
  <c r="F123" i="37"/>
  <c r="B133" i="11"/>
  <c r="F133" i="11"/>
  <c r="H133" i="11" s="1"/>
  <c r="B130" i="25"/>
  <c r="F130" i="25"/>
  <c r="B125" i="30"/>
  <c r="F125" i="30"/>
  <c r="B122" i="41"/>
  <c r="F122" i="41"/>
  <c r="G132" i="8" l="1"/>
  <c r="I132" i="8" s="1"/>
  <c r="J132" i="8" s="1"/>
  <c r="D133" i="8"/>
  <c r="E133" i="8"/>
  <c r="G133" i="9"/>
  <c r="I133" i="9" s="1"/>
  <c r="D134" i="9"/>
  <c r="E134" i="9"/>
  <c r="D129" i="24"/>
  <c r="G128" i="24"/>
  <c r="I128" i="24" s="1"/>
  <c r="J128" i="24" s="1"/>
  <c r="E129" i="24"/>
  <c r="D131" i="22"/>
  <c r="G130" i="22"/>
  <c r="I130" i="22" s="1"/>
  <c r="J130" i="22" s="1"/>
  <c r="J155" i="22" s="1"/>
  <c r="E131" i="22"/>
  <c r="H125" i="30"/>
  <c r="D126" i="30"/>
  <c r="G125" i="30"/>
  <c r="I125" i="30" s="1"/>
  <c r="E126" i="30"/>
  <c r="G126" i="31"/>
  <c r="I126" i="31" s="1"/>
  <c r="D127" i="31"/>
  <c r="E127" i="31"/>
  <c r="D130" i="23"/>
  <c r="G129" i="23"/>
  <c r="I129" i="23" s="1"/>
  <c r="J129" i="23" s="1"/>
  <c r="E130" i="23"/>
  <c r="D132" i="4"/>
  <c r="G131" i="4"/>
  <c r="I131" i="4" s="1"/>
  <c r="J131" i="4" s="1"/>
  <c r="E132" i="4"/>
  <c r="G120" i="46"/>
  <c r="I120" i="46" s="1"/>
  <c r="J120" i="46" s="1"/>
  <c r="D121" i="46"/>
  <c r="E121" i="46"/>
  <c r="G131" i="3"/>
  <c r="I131" i="3" s="1"/>
  <c r="D132" i="3"/>
  <c r="E132" i="3"/>
  <c r="H132" i="6"/>
  <c r="G132" i="6"/>
  <c r="I132" i="6" s="1"/>
  <c r="D133" i="6"/>
  <c r="E133" i="6"/>
  <c r="D132" i="5"/>
  <c r="G131" i="5"/>
  <c r="I131" i="5" s="1"/>
  <c r="E132" i="5"/>
  <c r="H130" i="25"/>
  <c r="G130" i="25"/>
  <c r="I130" i="25" s="1"/>
  <c r="D131" i="25"/>
  <c r="E131" i="25"/>
  <c r="D134" i="11"/>
  <c r="G133" i="11"/>
  <c r="I133" i="11" s="1"/>
  <c r="E134" i="11"/>
  <c r="G121" i="42"/>
  <c r="I121" i="42" s="1"/>
  <c r="J121" i="42" s="1"/>
  <c r="D122" i="42"/>
  <c r="E122" i="42"/>
  <c r="D122" i="45"/>
  <c r="G121" i="45"/>
  <c r="I121" i="45" s="1"/>
  <c r="J121" i="45" s="1"/>
  <c r="E122" i="45"/>
  <c r="H121" i="44"/>
  <c r="G121" i="44"/>
  <c r="I121" i="44" s="1"/>
  <c r="D122" i="44"/>
  <c r="E122" i="44"/>
  <c r="G122" i="38"/>
  <c r="I122" i="38" s="1"/>
  <c r="J122" i="38" s="1"/>
  <c r="D123" i="38"/>
  <c r="E123" i="38"/>
  <c r="G126" i="28"/>
  <c r="I126" i="28" s="1"/>
  <c r="J126" i="28" s="1"/>
  <c r="D127" i="28"/>
  <c r="E127" i="28"/>
  <c r="H127" i="27"/>
  <c r="G127" i="27"/>
  <c r="I127" i="27" s="1"/>
  <c r="D128" i="27"/>
  <c r="E128" i="27"/>
  <c r="G121" i="43"/>
  <c r="I121" i="43" s="1"/>
  <c r="J121" i="43" s="1"/>
  <c r="D122" i="43"/>
  <c r="E122" i="43"/>
  <c r="H122" i="41"/>
  <c r="G122" i="41"/>
  <c r="I122" i="41" s="1"/>
  <c r="D123" i="41"/>
  <c r="E123" i="41"/>
  <c r="H131" i="3"/>
  <c r="G122" i="40"/>
  <c r="I122" i="40" s="1"/>
  <c r="J122" i="40" s="1"/>
  <c r="D123" i="40"/>
  <c r="E123" i="40"/>
  <c r="F134" i="10"/>
  <c r="B134" i="10"/>
  <c r="D124" i="37"/>
  <c r="G123" i="37"/>
  <c r="I123" i="37" s="1"/>
  <c r="E124" i="37"/>
  <c r="H134" i="7"/>
  <c r="D135" i="7"/>
  <c r="G134" i="7"/>
  <c r="I134" i="7" s="1"/>
  <c r="E135" i="7"/>
  <c r="H123" i="37"/>
  <c r="H126" i="31"/>
  <c r="G123" i="39"/>
  <c r="I123" i="39" s="1"/>
  <c r="J123" i="39" s="1"/>
  <c r="D124" i="39"/>
  <c r="E124" i="39"/>
  <c r="H126" i="29"/>
  <c r="D127" i="29"/>
  <c r="G126" i="29"/>
  <c r="I126" i="29" s="1"/>
  <c r="E127" i="29"/>
  <c r="H131" i="5"/>
  <c r="J133" i="10"/>
  <c r="J121" i="44" l="1"/>
  <c r="J123" i="37"/>
  <c r="J127" i="27"/>
  <c r="J125" i="30"/>
  <c r="J126" i="29"/>
  <c r="J130" i="25"/>
  <c r="F129" i="24"/>
  <c r="H129" i="24" s="1"/>
  <c r="B129" i="24"/>
  <c r="J122" i="41"/>
  <c r="F122" i="44"/>
  <c r="H122" i="44" s="1"/>
  <c r="B122" i="44"/>
  <c r="B132" i="3"/>
  <c r="F132" i="3"/>
  <c r="F126" i="30"/>
  <c r="H126" i="30" s="1"/>
  <c r="B126" i="30"/>
  <c r="B123" i="41"/>
  <c r="F123" i="41"/>
  <c r="H123" i="41" s="1"/>
  <c r="H134" i="10"/>
  <c r="D135" i="10"/>
  <c r="G134" i="10"/>
  <c r="I134" i="10" s="1"/>
  <c r="E135" i="10"/>
  <c r="J131" i="5"/>
  <c r="J131" i="3"/>
  <c r="B134" i="9"/>
  <c r="F134" i="9"/>
  <c r="H134" i="9" s="1"/>
  <c r="F122" i="42"/>
  <c r="B122" i="42"/>
  <c r="F132" i="4"/>
  <c r="H132" i="4" s="1"/>
  <c r="B132" i="4"/>
  <c r="F127" i="29"/>
  <c r="B127" i="29"/>
  <c r="J134" i="7"/>
  <c r="F127" i="28"/>
  <c r="H127" i="28" s="1"/>
  <c r="B127" i="28"/>
  <c r="F132" i="5"/>
  <c r="B132" i="5"/>
  <c r="F130" i="23"/>
  <c r="H130" i="23" s="1"/>
  <c r="B130" i="23"/>
  <c r="F135" i="7"/>
  <c r="H135" i="7" s="1"/>
  <c r="B135" i="7"/>
  <c r="F123" i="40"/>
  <c r="H123" i="40" s="1"/>
  <c r="B123" i="40"/>
  <c r="B122" i="43"/>
  <c r="F122" i="43"/>
  <c r="B134" i="11"/>
  <c r="F134" i="11"/>
  <c r="H134" i="11" s="1"/>
  <c r="B121" i="46"/>
  <c r="F121" i="46"/>
  <c r="H121" i="46" s="1"/>
  <c r="B128" i="27"/>
  <c r="F128" i="27"/>
  <c r="B124" i="37"/>
  <c r="F124" i="37"/>
  <c r="H124" i="37" s="1"/>
  <c r="F133" i="6"/>
  <c r="B133" i="6"/>
  <c r="F127" i="31"/>
  <c r="B127" i="31"/>
  <c r="B131" i="22"/>
  <c r="F131" i="22"/>
  <c r="H131" i="22" s="1"/>
  <c r="B133" i="8"/>
  <c r="F133" i="8"/>
  <c r="H133" i="8" s="1"/>
  <c r="F124" i="39"/>
  <c r="B124" i="39"/>
  <c r="F123" i="38"/>
  <c r="B123" i="38"/>
  <c r="F122" i="45"/>
  <c r="H122" i="45" s="1"/>
  <c r="B122" i="45"/>
  <c r="F131" i="25"/>
  <c r="B131" i="25"/>
  <c r="J132" i="6"/>
  <c r="J126" i="31"/>
  <c r="H124" i="39" l="1"/>
  <c r="D125" i="39"/>
  <c r="G124" i="39"/>
  <c r="I124" i="39" s="1"/>
  <c r="E125" i="39"/>
  <c r="G128" i="27"/>
  <c r="I128" i="27" s="1"/>
  <c r="D129" i="27"/>
  <c r="E129" i="27"/>
  <c r="H122" i="43"/>
  <c r="G122" i="43"/>
  <c r="I122" i="43" s="1"/>
  <c r="D123" i="43"/>
  <c r="E123" i="43"/>
  <c r="G131" i="25"/>
  <c r="I131" i="25" s="1"/>
  <c r="D132" i="25"/>
  <c r="E132" i="25"/>
  <c r="G127" i="31"/>
  <c r="I127" i="31" s="1"/>
  <c r="D128" i="31"/>
  <c r="E128" i="31"/>
  <c r="G121" i="46"/>
  <c r="I121" i="46" s="1"/>
  <c r="J121" i="46" s="1"/>
  <c r="D122" i="46"/>
  <c r="E122" i="46"/>
  <c r="G122" i="44"/>
  <c r="I122" i="44" s="1"/>
  <c r="J122" i="44" s="1"/>
  <c r="D123" i="44"/>
  <c r="E123" i="44"/>
  <c r="D135" i="9"/>
  <c r="G134" i="9"/>
  <c r="I134" i="9" s="1"/>
  <c r="E135" i="9"/>
  <c r="D134" i="8"/>
  <c r="G133" i="8"/>
  <c r="I133" i="8" s="1"/>
  <c r="J133" i="8" s="1"/>
  <c r="E134" i="8"/>
  <c r="D131" i="23"/>
  <c r="G130" i="23"/>
  <c r="I130" i="23" s="1"/>
  <c r="J130" i="23" s="1"/>
  <c r="J155" i="23" s="1"/>
  <c r="E131" i="23"/>
  <c r="G123" i="41"/>
  <c r="I123" i="41" s="1"/>
  <c r="J123" i="41" s="1"/>
  <c r="D124" i="41"/>
  <c r="E124" i="41"/>
  <c r="H133" i="6"/>
  <c r="D134" i="6"/>
  <c r="G133" i="6"/>
  <c r="I133" i="6" s="1"/>
  <c r="E134" i="6"/>
  <c r="G122" i="45"/>
  <c r="I122" i="45" s="1"/>
  <c r="J122" i="45" s="1"/>
  <c r="D123" i="45"/>
  <c r="E123" i="45"/>
  <c r="G123" i="40"/>
  <c r="I123" i="40" s="1"/>
  <c r="J123" i="40" s="1"/>
  <c r="D124" i="40"/>
  <c r="E124" i="40"/>
  <c r="H132" i="5"/>
  <c r="G132" i="5"/>
  <c r="I132" i="5" s="1"/>
  <c r="D133" i="5"/>
  <c r="E133" i="5"/>
  <c r="H127" i="29"/>
  <c r="G127" i="29"/>
  <c r="I127" i="29" s="1"/>
  <c r="D128" i="29"/>
  <c r="E128" i="29"/>
  <c r="G132" i="4"/>
  <c r="I132" i="4" s="1"/>
  <c r="J132" i="4" s="1"/>
  <c r="D133" i="4"/>
  <c r="E133" i="4"/>
  <c r="G124" i="37"/>
  <c r="I124" i="37" s="1"/>
  <c r="J124" i="37" s="1"/>
  <c r="D125" i="37"/>
  <c r="E125" i="37"/>
  <c r="H123" i="38"/>
  <c r="G123" i="38"/>
  <c r="I123" i="38" s="1"/>
  <c r="D124" i="38"/>
  <c r="E124" i="38"/>
  <c r="D135" i="11"/>
  <c r="G134" i="11"/>
  <c r="I134" i="11" s="1"/>
  <c r="E135" i="11"/>
  <c r="J134" i="10"/>
  <c r="G126" i="30"/>
  <c r="I126" i="30" s="1"/>
  <c r="J126" i="30" s="1"/>
  <c r="D127" i="30"/>
  <c r="E127" i="30"/>
  <c r="G131" i="22"/>
  <c r="I131" i="22" s="1"/>
  <c r="D132" i="22"/>
  <c r="E132" i="22"/>
  <c r="H131" i="25"/>
  <c r="H127" i="31"/>
  <c r="H128" i="27"/>
  <c r="D136" i="7"/>
  <c r="G135" i="7"/>
  <c r="I135" i="7" s="1"/>
  <c r="J135" i="7" s="1"/>
  <c r="E136" i="7"/>
  <c r="G127" i="28"/>
  <c r="I127" i="28" s="1"/>
  <c r="J127" i="28" s="1"/>
  <c r="D128" i="28"/>
  <c r="E128" i="28"/>
  <c r="H122" i="42"/>
  <c r="D123" i="42"/>
  <c r="G122" i="42"/>
  <c r="I122" i="42" s="1"/>
  <c r="E123" i="42"/>
  <c r="B135" i="10"/>
  <c r="F135" i="10"/>
  <c r="H132" i="3"/>
  <c r="G132" i="3"/>
  <c r="I132" i="3" s="1"/>
  <c r="D133" i="3"/>
  <c r="E133" i="3"/>
  <c r="D130" i="24"/>
  <c r="G129" i="24"/>
  <c r="I129" i="24" s="1"/>
  <c r="J129" i="24" s="1"/>
  <c r="E130" i="24"/>
  <c r="J124" i="39" l="1"/>
  <c r="J133" i="6"/>
  <c r="J132" i="3"/>
  <c r="J122" i="42"/>
  <c r="J123" i="38"/>
  <c r="J132" i="5"/>
  <c r="J127" i="31"/>
  <c r="J128" i="27"/>
  <c r="J127" i="29"/>
  <c r="F130" i="24"/>
  <c r="H130" i="24" s="1"/>
  <c r="B130" i="24"/>
  <c r="B124" i="38"/>
  <c r="F124" i="38"/>
  <c r="H124" i="38" s="1"/>
  <c r="F131" i="23"/>
  <c r="B131" i="23"/>
  <c r="B123" i="44"/>
  <c r="F123" i="44"/>
  <c r="B129" i="27"/>
  <c r="F129" i="27"/>
  <c r="B128" i="31"/>
  <c r="F128" i="31"/>
  <c r="H128" i="31" s="1"/>
  <c r="B133" i="5"/>
  <c r="F133" i="5"/>
  <c r="B133" i="3"/>
  <c r="F133" i="3"/>
  <c r="H133" i="3" s="1"/>
  <c r="B123" i="42"/>
  <c r="F123" i="42"/>
  <c r="H123" i="42" s="1"/>
  <c r="F128" i="29"/>
  <c r="H128" i="29" s="1"/>
  <c r="B128" i="29"/>
  <c r="B124" i="40"/>
  <c r="F124" i="40"/>
  <c r="H124" i="40" s="1"/>
  <c r="J131" i="25"/>
  <c r="D136" i="10"/>
  <c r="G135" i="10"/>
  <c r="I135" i="10" s="1"/>
  <c r="E136" i="10"/>
  <c r="B135" i="11"/>
  <c r="F135" i="11"/>
  <c r="B135" i="9"/>
  <c r="F135" i="9"/>
  <c r="F127" i="30"/>
  <c r="B127" i="30"/>
  <c r="F134" i="8"/>
  <c r="H134" i="8" s="1"/>
  <c r="B134" i="8"/>
  <c r="B122" i="46"/>
  <c r="F122" i="46"/>
  <c r="F133" i="4"/>
  <c r="B133" i="4"/>
  <c r="B136" i="7"/>
  <c r="F136" i="7"/>
  <c r="H136" i="7" s="1"/>
  <c r="B134" i="6"/>
  <c r="F134" i="6"/>
  <c r="B125" i="37"/>
  <c r="F125" i="37"/>
  <c r="F124" i="41"/>
  <c r="H124" i="41" s="1"/>
  <c r="B124" i="41"/>
  <c r="F123" i="43"/>
  <c r="H123" i="43" s="1"/>
  <c r="B123" i="43"/>
  <c r="F125" i="39"/>
  <c r="B125" i="39"/>
  <c r="B132" i="22"/>
  <c r="F132" i="22"/>
  <c r="H132" i="22" s="1"/>
  <c r="F132" i="25"/>
  <c r="H132" i="25" s="1"/>
  <c r="B132" i="25"/>
  <c r="H135" i="10"/>
  <c r="F128" i="28"/>
  <c r="H128" i="28" s="1"/>
  <c r="B128" i="28"/>
  <c r="F123" i="45"/>
  <c r="H123" i="45" s="1"/>
  <c r="B123" i="45"/>
  <c r="J122" i="43"/>
  <c r="G125" i="39" l="1"/>
  <c r="I125" i="39" s="1"/>
  <c r="D126" i="39"/>
  <c r="E126" i="39"/>
  <c r="B136" i="10"/>
  <c r="F136" i="10"/>
  <c r="D134" i="4"/>
  <c r="G133" i="4"/>
  <c r="I133" i="4" s="1"/>
  <c r="E134" i="4"/>
  <c r="G127" i="30"/>
  <c r="I127" i="30" s="1"/>
  <c r="D128" i="30"/>
  <c r="E128" i="30"/>
  <c r="D124" i="42"/>
  <c r="G123" i="42"/>
  <c r="I123" i="42" s="1"/>
  <c r="J123" i="42" s="1"/>
  <c r="E124" i="42"/>
  <c r="D129" i="31"/>
  <c r="G128" i="31"/>
  <c r="I128" i="31" s="1"/>
  <c r="J128" i="31" s="1"/>
  <c r="E129" i="31"/>
  <c r="G131" i="23"/>
  <c r="I131" i="23" s="1"/>
  <c r="D132" i="23"/>
  <c r="E132" i="23"/>
  <c r="D133" i="25"/>
  <c r="G132" i="25"/>
  <c r="I132" i="25" s="1"/>
  <c r="J132" i="25" s="1"/>
  <c r="J155" i="25" s="1"/>
  <c r="E133" i="25"/>
  <c r="H134" i="6"/>
  <c r="G134" i="6"/>
  <c r="I134" i="6" s="1"/>
  <c r="D135" i="6"/>
  <c r="E135" i="6"/>
  <c r="H122" i="46"/>
  <c r="D123" i="46"/>
  <c r="G122" i="46"/>
  <c r="I122" i="46" s="1"/>
  <c r="E123" i="46"/>
  <c r="H135" i="9"/>
  <c r="G135" i="9"/>
  <c r="I135" i="9" s="1"/>
  <c r="D136" i="9"/>
  <c r="E136" i="9"/>
  <c r="D124" i="45"/>
  <c r="G123" i="45"/>
  <c r="I123" i="45" s="1"/>
  <c r="J123" i="45" s="1"/>
  <c r="E124" i="45"/>
  <c r="D133" i="22"/>
  <c r="G132" i="22"/>
  <c r="I132" i="22" s="1"/>
  <c r="E133" i="22"/>
  <c r="H135" i="11"/>
  <c r="D136" i="11"/>
  <c r="G135" i="11"/>
  <c r="I135" i="11" s="1"/>
  <c r="E136" i="11"/>
  <c r="G133" i="3"/>
  <c r="I133" i="3" s="1"/>
  <c r="J133" i="3" s="1"/>
  <c r="D134" i="3"/>
  <c r="E134" i="3"/>
  <c r="D126" i="37"/>
  <c r="G125" i="37"/>
  <c r="I125" i="37" s="1"/>
  <c r="E126" i="37"/>
  <c r="G124" i="38"/>
  <c r="I124" i="38" s="1"/>
  <c r="J124" i="38" s="1"/>
  <c r="D125" i="38"/>
  <c r="E125" i="38"/>
  <c r="G136" i="7"/>
  <c r="I136" i="7" s="1"/>
  <c r="J136" i="7" s="1"/>
  <c r="D137" i="7"/>
  <c r="E137" i="7"/>
  <c r="H123" i="44"/>
  <c r="G123" i="44"/>
  <c r="I123" i="44" s="1"/>
  <c r="D124" i="44"/>
  <c r="E124" i="44"/>
  <c r="D129" i="28"/>
  <c r="G128" i="28"/>
  <c r="I128" i="28" s="1"/>
  <c r="J128" i="28" s="1"/>
  <c r="E129" i="28"/>
  <c r="H125" i="39"/>
  <c r="G124" i="41"/>
  <c r="I124" i="41" s="1"/>
  <c r="J124" i="41" s="1"/>
  <c r="D125" i="41"/>
  <c r="E125" i="41"/>
  <c r="G134" i="8"/>
  <c r="I134" i="8" s="1"/>
  <c r="J134" i="8" s="1"/>
  <c r="D135" i="8"/>
  <c r="E135" i="8"/>
  <c r="H133" i="5"/>
  <c r="G133" i="5"/>
  <c r="I133" i="5" s="1"/>
  <c r="D134" i="5"/>
  <c r="E134" i="5"/>
  <c r="D124" i="43"/>
  <c r="G123" i="43"/>
  <c r="I123" i="43" s="1"/>
  <c r="J123" i="43" s="1"/>
  <c r="E124" i="43"/>
  <c r="G124" i="40"/>
  <c r="I124" i="40" s="1"/>
  <c r="J124" i="40" s="1"/>
  <c r="D125" i="40"/>
  <c r="E125" i="40"/>
  <c r="H129" i="27"/>
  <c r="D130" i="27"/>
  <c r="G129" i="27"/>
  <c r="I129" i="27" s="1"/>
  <c r="E130" i="27"/>
  <c r="H125" i="37"/>
  <c r="H133" i="4"/>
  <c r="H127" i="30"/>
  <c r="J135" i="10"/>
  <c r="G128" i="29"/>
  <c r="I128" i="29" s="1"/>
  <c r="J128" i="29" s="1"/>
  <c r="D129" i="29"/>
  <c r="E129" i="29"/>
  <c r="H131" i="23"/>
  <c r="D131" i="24"/>
  <c r="G130" i="24"/>
  <c r="I130" i="24" s="1"/>
  <c r="J130" i="24" s="1"/>
  <c r="J155" i="24" s="1"/>
  <c r="E131" i="24"/>
  <c r="J122" i="46" l="1"/>
  <c r="J129" i="27"/>
  <c r="J123" i="44"/>
  <c r="B125" i="40"/>
  <c r="F125" i="40"/>
  <c r="F137" i="7"/>
  <c r="B137" i="7"/>
  <c r="B134" i="3"/>
  <c r="F134" i="3"/>
  <c r="H134" i="3" s="1"/>
  <c r="B133" i="22"/>
  <c r="F133" i="22"/>
  <c r="H133" i="22" s="1"/>
  <c r="F129" i="31"/>
  <c r="H129" i="31" s="1"/>
  <c r="B129" i="31"/>
  <c r="J133" i="4"/>
  <c r="B135" i="8"/>
  <c r="F135" i="8"/>
  <c r="F129" i="28"/>
  <c r="B129" i="28"/>
  <c r="B134" i="4"/>
  <c r="F134" i="4"/>
  <c r="H134" i="4" s="1"/>
  <c r="F125" i="38"/>
  <c r="B125" i="38"/>
  <c r="F123" i="46"/>
  <c r="H123" i="46" s="1"/>
  <c r="B123" i="46"/>
  <c r="B133" i="25"/>
  <c r="F133" i="25"/>
  <c r="H133" i="25" s="1"/>
  <c r="H136" i="10"/>
  <c r="G136" i="10"/>
  <c r="I136" i="10" s="1"/>
  <c r="D137" i="10"/>
  <c r="E137" i="10"/>
  <c r="F124" i="43"/>
  <c r="H124" i="43" s="1"/>
  <c r="B124" i="43"/>
  <c r="F124" i="44"/>
  <c r="B124" i="44"/>
  <c r="F124" i="45"/>
  <c r="B124" i="45"/>
  <c r="F124" i="42"/>
  <c r="H124" i="42" s="1"/>
  <c r="B124" i="42"/>
  <c r="B129" i="29"/>
  <c r="F129" i="29"/>
  <c r="F130" i="27"/>
  <c r="B130" i="27"/>
  <c r="F125" i="41"/>
  <c r="H125" i="41" s="1"/>
  <c r="B125" i="41"/>
  <c r="F136" i="11"/>
  <c r="H136" i="11" s="1"/>
  <c r="B136" i="11"/>
  <c r="B132" i="23"/>
  <c r="F132" i="23"/>
  <c r="H132" i="23" s="1"/>
  <c r="B134" i="5"/>
  <c r="F134" i="5"/>
  <c r="H134" i="5" s="1"/>
  <c r="J125" i="37"/>
  <c r="F136" i="9"/>
  <c r="B136" i="9"/>
  <c r="B135" i="6"/>
  <c r="F135" i="6"/>
  <c r="B128" i="30"/>
  <c r="F128" i="30"/>
  <c r="H128" i="30" s="1"/>
  <c r="B126" i="39"/>
  <c r="F126" i="39"/>
  <c r="B131" i="24"/>
  <c r="F131" i="24"/>
  <c r="H131" i="24" s="1"/>
  <c r="J133" i="5"/>
  <c r="F126" i="37"/>
  <c r="B126" i="37"/>
  <c r="J134" i="6"/>
  <c r="J127" i="30"/>
  <c r="J125" i="39"/>
  <c r="J136" i="10" l="1"/>
  <c r="G136" i="9"/>
  <c r="I136" i="9" s="1"/>
  <c r="D137" i="9"/>
  <c r="E137" i="9"/>
  <c r="H125" i="38"/>
  <c r="D126" i="38"/>
  <c r="G125" i="38"/>
  <c r="I125" i="38" s="1"/>
  <c r="E126" i="38"/>
  <c r="H126" i="37"/>
  <c r="D127" i="37"/>
  <c r="G126" i="37"/>
  <c r="I126" i="37" s="1"/>
  <c r="E127" i="37"/>
  <c r="H124" i="44"/>
  <c r="G124" i="44"/>
  <c r="I124" i="44" s="1"/>
  <c r="D125" i="44"/>
  <c r="E125" i="44"/>
  <c r="G134" i="3"/>
  <c r="I134" i="3" s="1"/>
  <c r="J134" i="3" s="1"/>
  <c r="D135" i="3"/>
  <c r="E135" i="3"/>
  <c r="H130" i="27"/>
  <c r="D131" i="27"/>
  <c r="G130" i="27"/>
  <c r="I130" i="27" s="1"/>
  <c r="E131" i="27"/>
  <c r="D129" i="30"/>
  <c r="G128" i="30"/>
  <c r="I128" i="30" s="1"/>
  <c r="J128" i="30" s="1"/>
  <c r="E129" i="30"/>
  <c r="G133" i="25"/>
  <c r="I133" i="25" s="1"/>
  <c r="D134" i="25"/>
  <c r="E134" i="25"/>
  <c r="D135" i="4"/>
  <c r="G134" i="4"/>
  <c r="I134" i="4" s="1"/>
  <c r="J134" i="4" s="1"/>
  <c r="E135" i="4"/>
  <c r="H129" i="29"/>
  <c r="G129" i="29"/>
  <c r="I129" i="29" s="1"/>
  <c r="D130" i="29"/>
  <c r="E130" i="29"/>
  <c r="G134" i="5"/>
  <c r="I134" i="5" s="1"/>
  <c r="J134" i="5" s="1"/>
  <c r="D135" i="5"/>
  <c r="E135" i="5"/>
  <c r="G124" i="43"/>
  <c r="I124" i="43" s="1"/>
  <c r="J124" i="43" s="1"/>
  <c r="D125" i="43"/>
  <c r="E125" i="43"/>
  <c r="G129" i="31"/>
  <c r="I129" i="31" s="1"/>
  <c r="J129" i="31" s="1"/>
  <c r="D130" i="31"/>
  <c r="E130" i="31"/>
  <c r="H137" i="7"/>
  <c r="G137" i="7"/>
  <c r="I137" i="7" s="1"/>
  <c r="D138" i="7"/>
  <c r="E138" i="7"/>
  <c r="G124" i="45"/>
  <c r="I124" i="45" s="1"/>
  <c r="D125" i="45"/>
  <c r="E125" i="45"/>
  <c r="D136" i="8"/>
  <c r="G135" i="8"/>
  <c r="I135" i="8" s="1"/>
  <c r="E136" i="8"/>
  <c r="D137" i="11"/>
  <c r="G136" i="11"/>
  <c r="I136" i="11" s="1"/>
  <c r="E137" i="11"/>
  <c r="G131" i="24"/>
  <c r="I131" i="24" s="1"/>
  <c r="D132" i="24"/>
  <c r="E132" i="24"/>
  <c r="H135" i="6"/>
  <c r="D136" i="6"/>
  <c r="G135" i="6"/>
  <c r="I135" i="6" s="1"/>
  <c r="E136" i="6"/>
  <c r="G125" i="41"/>
  <c r="I125" i="41" s="1"/>
  <c r="J125" i="41" s="1"/>
  <c r="D126" i="41"/>
  <c r="E126" i="41"/>
  <c r="H124" i="45"/>
  <c r="H129" i="28"/>
  <c r="G129" i="28"/>
  <c r="I129" i="28" s="1"/>
  <c r="D130" i="28"/>
  <c r="E130" i="28"/>
  <c r="H125" i="40"/>
  <c r="D126" i="40"/>
  <c r="G125" i="40"/>
  <c r="I125" i="40" s="1"/>
  <c r="E126" i="40"/>
  <c r="D127" i="39"/>
  <c r="G126" i="39"/>
  <c r="I126" i="39" s="1"/>
  <c r="E127" i="39"/>
  <c r="G124" i="42"/>
  <c r="I124" i="42" s="1"/>
  <c r="J124" i="42" s="1"/>
  <c r="D125" i="42"/>
  <c r="E125" i="42"/>
  <c r="H126" i="39"/>
  <c r="H136" i="9"/>
  <c r="G132" i="23"/>
  <c r="I132" i="23" s="1"/>
  <c r="D133" i="23"/>
  <c r="E133" i="23"/>
  <c r="F137" i="10"/>
  <c r="B137" i="10"/>
  <c r="G123" i="46"/>
  <c r="I123" i="46" s="1"/>
  <c r="J123" i="46" s="1"/>
  <c r="D124" i="46"/>
  <c r="E124" i="46"/>
  <c r="H135" i="8"/>
  <c r="D134" i="22"/>
  <c r="G133" i="22"/>
  <c r="I133" i="22" s="1"/>
  <c r="E134" i="22"/>
  <c r="J124" i="44" l="1"/>
  <c r="J125" i="40"/>
  <c r="J135" i="6"/>
  <c r="F137" i="11"/>
  <c r="H137" i="11" s="1"/>
  <c r="B137" i="11"/>
  <c r="B129" i="30"/>
  <c r="F129" i="30"/>
  <c r="H129" i="30" s="1"/>
  <c r="F134" i="22"/>
  <c r="B134" i="22"/>
  <c r="F133" i="23"/>
  <c r="H133" i="23" s="1"/>
  <c r="B133" i="23"/>
  <c r="J126" i="39"/>
  <c r="J129" i="28"/>
  <c r="F136" i="6"/>
  <c r="H136" i="6" s="1"/>
  <c r="B136" i="6"/>
  <c r="J137" i="7"/>
  <c r="F125" i="44"/>
  <c r="H125" i="44" s="1"/>
  <c r="B125" i="44"/>
  <c r="J125" i="38"/>
  <c r="B125" i="43"/>
  <c r="F125" i="43"/>
  <c r="F130" i="28"/>
  <c r="B130" i="28"/>
  <c r="B127" i="39"/>
  <c r="F127" i="39"/>
  <c r="H127" i="39" s="1"/>
  <c r="J135" i="8"/>
  <c r="F135" i="5"/>
  <c r="H135" i="5" s="1"/>
  <c r="B135" i="5"/>
  <c r="B135" i="4"/>
  <c r="F135" i="4"/>
  <c r="J130" i="27"/>
  <c r="B126" i="38"/>
  <c r="F126" i="38"/>
  <c r="B138" i="7"/>
  <c r="F138" i="7"/>
  <c r="F136" i="8"/>
  <c r="B136" i="8"/>
  <c r="F131" i="27"/>
  <c r="B131" i="27"/>
  <c r="F124" i="46"/>
  <c r="B124" i="46"/>
  <c r="F132" i="24"/>
  <c r="B132" i="24"/>
  <c r="B130" i="31"/>
  <c r="F130" i="31"/>
  <c r="H130" i="31" s="1"/>
  <c r="F134" i="25"/>
  <c r="H134" i="25" s="1"/>
  <c r="B134" i="25"/>
  <c r="H137" i="10"/>
  <c r="D138" i="10"/>
  <c r="G137" i="10"/>
  <c r="I137" i="10" s="1"/>
  <c r="E138" i="10"/>
  <c r="F126" i="40"/>
  <c r="H126" i="40" s="1"/>
  <c r="B126" i="40"/>
  <c r="B126" i="41"/>
  <c r="F126" i="41"/>
  <c r="H126" i="41" s="1"/>
  <c r="B125" i="45"/>
  <c r="F125" i="45"/>
  <c r="B130" i="29"/>
  <c r="F130" i="29"/>
  <c r="J126" i="37"/>
  <c r="B137" i="9"/>
  <c r="F137" i="9"/>
  <c r="F125" i="42"/>
  <c r="B125" i="42"/>
  <c r="J124" i="45"/>
  <c r="J129" i="29"/>
  <c r="B135" i="3"/>
  <c r="F135" i="3"/>
  <c r="H135" i="3" s="1"/>
  <c r="F127" i="37"/>
  <c r="B127" i="37"/>
  <c r="G125" i="42" l="1"/>
  <c r="I125" i="42" s="1"/>
  <c r="D126" i="42"/>
  <c r="E126" i="42"/>
  <c r="D137" i="8"/>
  <c r="G136" i="8"/>
  <c r="I136" i="8" s="1"/>
  <c r="E137" i="8"/>
  <c r="H130" i="28"/>
  <c r="D131" i="28"/>
  <c r="G130" i="28"/>
  <c r="I130" i="28" s="1"/>
  <c r="E131" i="28"/>
  <c r="D136" i="5"/>
  <c r="G135" i="5"/>
  <c r="I135" i="5" s="1"/>
  <c r="J135" i="5" s="1"/>
  <c r="E136" i="5"/>
  <c r="D137" i="6"/>
  <c r="G136" i="6"/>
  <c r="I136" i="6" s="1"/>
  <c r="J136" i="6" s="1"/>
  <c r="E137" i="6"/>
  <c r="H126" i="38"/>
  <c r="G126" i="38"/>
  <c r="I126" i="38" s="1"/>
  <c r="D127" i="38"/>
  <c r="E127" i="38"/>
  <c r="D130" i="30"/>
  <c r="G129" i="30"/>
  <c r="I129" i="30" s="1"/>
  <c r="J129" i="30" s="1"/>
  <c r="E130" i="30"/>
  <c r="F138" i="10"/>
  <c r="B138" i="10"/>
  <c r="H132" i="24"/>
  <c r="G132" i="24"/>
  <c r="I132" i="24" s="1"/>
  <c r="D133" i="24"/>
  <c r="E133" i="24"/>
  <c r="H125" i="43"/>
  <c r="G125" i="43"/>
  <c r="I125" i="43" s="1"/>
  <c r="D126" i="43"/>
  <c r="E126" i="43"/>
  <c r="H134" i="22"/>
  <c r="D135" i="22"/>
  <c r="G134" i="22"/>
  <c r="I134" i="22" s="1"/>
  <c r="E135" i="22"/>
  <c r="H127" i="37"/>
  <c r="D128" i="37"/>
  <c r="G127" i="37"/>
  <c r="I127" i="37" s="1"/>
  <c r="E128" i="37"/>
  <c r="D127" i="40"/>
  <c r="G126" i="40"/>
  <c r="I126" i="40" s="1"/>
  <c r="J126" i="40" s="1"/>
  <c r="E127" i="40"/>
  <c r="H131" i="27"/>
  <c r="G131" i="27"/>
  <c r="I131" i="27" s="1"/>
  <c r="D132" i="27"/>
  <c r="E132" i="27"/>
  <c r="G127" i="39"/>
  <c r="I127" i="39" s="1"/>
  <c r="J127" i="39" s="1"/>
  <c r="D128" i="39"/>
  <c r="E128" i="39"/>
  <c r="G126" i="41"/>
  <c r="I126" i="41" s="1"/>
  <c r="J126" i="41" s="1"/>
  <c r="D127" i="41"/>
  <c r="E127" i="41"/>
  <c r="H138" i="7"/>
  <c r="D139" i="7"/>
  <c r="G138" i="7"/>
  <c r="I138" i="7" s="1"/>
  <c r="E139" i="7"/>
  <c r="H124" i="46"/>
  <c r="D125" i="46"/>
  <c r="G124" i="46"/>
  <c r="I124" i="46" s="1"/>
  <c r="E125" i="46"/>
  <c r="D135" i="25"/>
  <c r="G134" i="25"/>
  <c r="I134" i="25" s="1"/>
  <c r="E135" i="25"/>
  <c r="H125" i="42"/>
  <c r="H136" i="8"/>
  <c r="G125" i="44"/>
  <c r="I125" i="44" s="1"/>
  <c r="J125" i="44" s="1"/>
  <c r="D126" i="44"/>
  <c r="E126" i="44"/>
  <c r="H137" i="9"/>
  <c r="G137" i="9"/>
  <c r="I137" i="9" s="1"/>
  <c r="D138" i="9"/>
  <c r="E138" i="9"/>
  <c r="G135" i="3"/>
  <c r="I135" i="3" s="1"/>
  <c r="J135" i="3" s="1"/>
  <c r="D136" i="3"/>
  <c r="E136" i="3"/>
  <c r="H130" i="29"/>
  <c r="D131" i="29"/>
  <c r="G130" i="29"/>
  <c r="I130" i="29" s="1"/>
  <c r="E131" i="29"/>
  <c r="H125" i="45"/>
  <c r="D126" i="45"/>
  <c r="G125" i="45"/>
  <c r="I125" i="45" s="1"/>
  <c r="E126" i="45"/>
  <c r="G130" i="31"/>
  <c r="I130" i="31" s="1"/>
  <c r="J130" i="31" s="1"/>
  <c r="D131" i="31"/>
  <c r="E131" i="31"/>
  <c r="H135" i="4"/>
  <c r="D136" i="4"/>
  <c r="G135" i="4"/>
  <c r="I135" i="4" s="1"/>
  <c r="E136" i="4"/>
  <c r="J137" i="10"/>
  <c r="D134" i="23"/>
  <c r="G133" i="23"/>
  <c r="I133" i="23" s="1"/>
  <c r="E134" i="23"/>
  <c r="G137" i="11"/>
  <c r="I137" i="11" s="1"/>
  <c r="D138" i="11"/>
  <c r="E138" i="11"/>
  <c r="J126" i="38" l="1"/>
  <c r="J125" i="43"/>
  <c r="J131" i="27"/>
  <c r="J135" i="4"/>
  <c r="J136" i="8"/>
  <c r="J125" i="45"/>
  <c r="B128" i="37"/>
  <c r="F128" i="37"/>
  <c r="H128" i="37" s="1"/>
  <c r="F131" i="28"/>
  <c r="H131" i="28" s="1"/>
  <c r="B131" i="28"/>
  <c r="F134" i="23"/>
  <c r="B134" i="23"/>
  <c r="F131" i="29"/>
  <c r="B131" i="29"/>
  <c r="F126" i="44"/>
  <c r="H126" i="44" s="1"/>
  <c r="B126" i="44"/>
  <c r="J124" i="46"/>
  <c r="B127" i="41"/>
  <c r="F127" i="41"/>
  <c r="B137" i="6"/>
  <c r="F137" i="6"/>
  <c r="B131" i="31"/>
  <c r="F131" i="31"/>
  <c r="H131" i="31" s="1"/>
  <c r="B135" i="25"/>
  <c r="F135" i="25"/>
  <c r="F126" i="45"/>
  <c r="H126" i="45" s="1"/>
  <c r="B126" i="45"/>
  <c r="F135" i="22"/>
  <c r="H135" i="22" s="1"/>
  <c r="B135" i="22"/>
  <c r="B137" i="8"/>
  <c r="F137" i="8"/>
  <c r="H137" i="8" s="1"/>
  <c r="B136" i="3"/>
  <c r="F136" i="3"/>
  <c r="H136" i="3" s="1"/>
  <c r="B136" i="4"/>
  <c r="F136" i="4"/>
  <c r="H136" i="4" s="1"/>
  <c r="B128" i="39"/>
  <c r="F128" i="39"/>
  <c r="H128" i="39" s="1"/>
  <c r="B127" i="40"/>
  <c r="F127" i="40"/>
  <c r="H127" i="40" s="1"/>
  <c r="B127" i="38"/>
  <c r="F127" i="38"/>
  <c r="B136" i="5"/>
  <c r="F136" i="5"/>
  <c r="H136" i="5" s="1"/>
  <c r="F132" i="27"/>
  <c r="B132" i="27"/>
  <c r="D139" i="10"/>
  <c r="G138" i="10"/>
  <c r="I138" i="10" s="1"/>
  <c r="E139" i="10"/>
  <c r="F125" i="46"/>
  <c r="H125" i="46" s="1"/>
  <c r="B125" i="46"/>
  <c r="B130" i="30"/>
  <c r="F130" i="30"/>
  <c r="H130" i="30" s="1"/>
  <c r="F138" i="9"/>
  <c r="B138" i="9"/>
  <c r="J138" i="7"/>
  <c r="H138" i="10"/>
  <c r="F126" i="42"/>
  <c r="H126" i="42" s="1"/>
  <c r="B126" i="42"/>
  <c r="F133" i="24"/>
  <c r="B133" i="24"/>
  <c r="F138" i="11"/>
  <c r="H138" i="11" s="1"/>
  <c r="B138" i="11"/>
  <c r="J130" i="29"/>
  <c r="F139" i="7"/>
  <c r="B139" i="7"/>
  <c r="J127" i="37"/>
  <c r="F126" i="43"/>
  <c r="H126" i="43" s="1"/>
  <c r="B126" i="43"/>
  <c r="J130" i="28"/>
  <c r="J125" i="42"/>
  <c r="J138" i="10" l="1"/>
  <c r="G138" i="9"/>
  <c r="I138" i="9" s="1"/>
  <c r="D139" i="9"/>
  <c r="E139" i="9"/>
  <c r="D131" i="30"/>
  <c r="G130" i="30"/>
  <c r="I130" i="30" s="1"/>
  <c r="J130" i="30" s="1"/>
  <c r="E131" i="30"/>
  <c r="D128" i="40"/>
  <c r="G127" i="40"/>
  <c r="I127" i="40" s="1"/>
  <c r="J127" i="40" s="1"/>
  <c r="E128" i="40"/>
  <c r="G135" i="22"/>
  <c r="I135" i="22" s="1"/>
  <c r="D136" i="22"/>
  <c r="E136" i="22"/>
  <c r="D132" i="31"/>
  <c r="G131" i="31"/>
  <c r="I131" i="31" s="1"/>
  <c r="J131" i="31" s="1"/>
  <c r="E132" i="31"/>
  <c r="G139" i="7"/>
  <c r="I139" i="7" s="1"/>
  <c r="D140" i="7"/>
  <c r="E140" i="7" s="1"/>
  <c r="F140" i="7" s="1"/>
  <c r="H132" i="27"/>
  <c r="D133" i="27"/>
  <c r="G132" i="27"/>
  <c r="I132" i="27" s="1"/>
  <c r="E133" i="27"/>
  <c r="G136" i="3"/>
  <c r="I136" i="3" s="1"/>
  <c r="J136" i="3" s="1"/>
  <c r="D137" i="3"/>
  <c r="E137" i="3"/>
  <c r="D127" i="44"/>
  <c r="G126" i="44"/>
  <c r="I126" i="44" s="1"/>
  <c r="J126" i="44" s="1"/>
  <c r="E127" i="44"/>
  <c r="G131" i="28"/>
  <c r="I131" i="28" s="1"/>
  <c r="J131" i="28" s="1"/>
  <c r="D132" i="28"/>
  <c r="E132" i="28"/>
  <c r="G133" i="24"/>
  <c r="I133" i="24" s="1"/>
  <c r="D134" i="24"/>
  <c r="E134" i="24"/>
  <c r="G136" i="4"/>
  <c r="I136" i="4" s="1"/>
  <c r="J136" i="4" s="1"/>
  <c r="D137" i="4"/>
  <c r="E137" i="4"/>
  <c r="D135" i="23"/>
  <c r="G134" i="23"/>
  <c r="I134" i="23" s="1"/>
  <c r="E135" i="23"/>
  <c r="G126" i="42"/>
  <c r="I126" i="42" s="1"/>
  <c r="J126" i="42" s="1"/>
  <c r="D127" i="42"/>
  <c r="E127" i="42"/>
  <c r="G136" i="5"/>
  <c r="I136" i="5" s="1"/>
  <c r="J136" i="5" s="1"/>
  <c r="D137" i="5"/>
  <c r="E137" i="5"/>
  <c r="H137" i="6"/>
  <c r="G137" i="6"/>
  <c r="I137" i="6" s="1"/>
  <c r="D138" i="6"/>
  <c r="E138" i="6"/>
  <c r="D128" i="38"/>
  <c r="G127" i="38"/>
  <c r="I127" i="38" s="1"/>
  <c r="E128" i="38"/>
  <c r="H133" i="24"/>
  <c r="H138" i="9"/>
  <c r="D126" i="46"/>
  <c r="G125" i="46"/>
  <c r="I125" i="46" s="1"/>
  <c r="J125" i="46" s="1"/>
  <c r="E126" i="46"/>
  <c r="D129" i="39"/>
  <c r="G128" i="39"/>
  <c r="I128" i="39" s="1"/>
  <c r="J128" i="39" s="1"/>
  <c r="E129" i="39"/>
  <c r="D127" i="45"/>
  <c r="G126" i="45"/>
  <c r="I126" i="45" s="1"/>
  <c r="J126" i="45" s="1"/>
  <c r="E127" i="45"/>
  <c r="H131" i="29"/>
  <c r="G131" i="29"/>
  <c r="I131" i="29" s="1"/>
  <c r="D132" i="29"/>
  <c r="E132" i="29"/>
  <c r="G128" i="37"/>
  <c r="I128" i="37" s="1"/>
  <c r="J128" i="37" s="1"/>
  <c r="D129" i="37"/>
  <c r="E129" i="37"/>
  <c r="D136" i="25"/>
  <c r="G135" i="25"/>
  <c r="I135" i="25" s="1"/>
  <c r="E136" i="25"/>
  <c r="F139" i="10"/>
  <c r="B139" i="10"/>
  <c r="D127" i="43"/>
  <c r="G126" i="43"/>
  <c r="I126" i="43" s="1"/>
  <c r="J126" i="43" s="1"/>
  <c r="E127" i="43"/>
  <c r="G138" i="11"/>
  <c r="I138" i="11" s="1"/>
  <c r="D139" i="11"/>
  <c r="E139" i="11"/>
  <c r="H139" i="7"/>
  <c r="H127" i="38"/>
  <c r="G137" i="8"/>
  <c r="I137" i="8" s="1"/>
  <c r="J137" i="8" s="1"/>
  <c r="D138" i="8"/>
  <c r="E138" i="8"/>
  <c r="H135" i="25"/>
  <c r="H127" i="41"/>
  <c r="G127" i="41"/>
  <c r="I127" i="41" s="1"/>
  <c r="D128" i="41"/>
  <c r="E128" i="41"/>
  <c r="H134" i="23"/>
  <c r="J132" i="27" l="1"/>
  <c r="J131" i="29"/>
  <c r="J127" i="41"/>
  <c r="J137" i="6"/>
  <c r="F136" i="25"/>
  <c r="B136" i="25"/>
  <c r="F126" i="46"/>
  <c r="B126" i="46"/>
  <c r="B137" i="3"/>
  <c r="F137" i="3"/>
  <c r="H137" i="3" s="1"/>
  <c r="J139" i="7"/>
  <c r="B128" i="40"/>
  <c r="F128" i="40"/>
  <c r="H128" i="40" s="1"/>
  <c r="B138" i="8"/>
  <c r="F138" i="8"/>
  <c r="H138" i="8" s="1"/>
  <c r="F129" i="37"/>
  <c r="B129" i="37"/>
  <c r="F127" i="45"/>
  <c r="H127" i="45" s="1"/>
  <c r="B127" i="45"/>
  <c r="F135" i="23"/>
  <c r="H135" i="23" s="1"/>
  <c r="B135" i="23"/>
  <c r="B132" i="28"/>
  <c r="F132" i="28"/>
  <c r="J127" i="38"/>
  <c r="B137" i="4"/>
  <c r="F137" i="4"/>
  <c r="H137" i="4" s="1"/>
  <c r="B133" i="27"/>
  <c r="F133" i="27"/>
  <c r="H133" i="27" s="1"/>
  <c r="F131" i="30"/>
  <c r="H131" i="30" s="1"/>
  <c r="B131" i="30"/>
  <c r="F137" i="5"/>
  <c r="B137" i="5"/>
  <c r="F132" i="31"/>
  <c r="B132" i="31"/>
  <c r="F128" i="41"/>
  <c r="B128" i="41"/>
  <c r="H139" i="10"/>
  <c r="D140" i="10"/>
  <c r="G139" i="10"/>
  <c r="I139" i="10" s="1"/>
  <c r="E140" i="10"/>
  <c r="B132" i="29"/>
  <c r="F132" i="29"/>
  <c r="B129" i="39"/>
  <c r="F129" i="39"/>
  <c r="F128" i="38"/>
  <c r="B128" i="38"/>
  <c r="F136" i="22"/>
  <c r="H136" i="22" s="1"/>
  <c r="B136" i="22"/>
  <c r="B127" i="44"/>
  <c r="F127" i="44"/>
  <c r="H127" i="44" s="1"/>
  <c r="D141" i="7"/>
  <c r="E141" i="7" s="1"/>
  <c r="F141" i="7" s="1"/>
  <c r="G140" i="7"/>
  <c r="I140" i="7" s="1"/>
  <c r="F139" i="9"/>
  <c r="B139" i="9"/>
  <c r="B127" i="43"/>
  <c r="F127" i="43"/>
  <c r="H127" i="43" s="1"/>
  <c r="F127" i="42"/>
  <c r="B127" i="42"/>
  <c r="F139" i="11"/>
  <c r="B139" i="11"/>
  <c r="F138" i="6"/>
  <c r="B138" i="6"/>
  <c r="B134" i="24"/>
  <c r="F134" i="24"/>
  <c r="H134" i="24" s="1"/>
  <c r="B140" i="7"/>
  <c r="H140" i="7"/>
  <c r="J140" i="7" l="1"/>
  <c r="J139" i="10"/>
  <c r="H132" i="29"/>
  <c r="G132" i="29"/>
  <c r="I132" i="29" s="1"/>
  <c r="D133" i="29"/>
  <c r="E133" i="29"/>
  <c r="H139" i="9"/>
  <c r="G139" i="9"/>
  <c r="I139" i="9" s="1"/>
  <c r="D140" i="9"/>
  <c r="E140" i="9" s="1"/>
  <c r="F140" i="9" s="1"/>
  <c r="H132" i="31"/>
  <c r="G132" i="31"/>
  <c r="I132" i="31" s="1"/>
  <c r="D133" i="31"/>
  <c r="E133" i="31"/>
  <c r="G137" i="3"/>
  <c r="I137" i="3" s="1"/>
  <c r="J137" i="3" s="1"/>
  <c r="D138" i="3"/>
  <c r="E138" i="3"/>
  <c r="H139" i="11"/>
  <c r="D140" i="11"/>
  <c r="G139" i="11"/>
  <c r="I139" i="11" s="1"/>
  <c r="G141" i="7"/>
  <c r="I141" i="7" s="1"/>
  <c r="D142" i="7"/>
  <c r="B142" i="7" s="1"/>
  <c r="D137" i="22"/>
  <c r="G136" i="22"/>
  <c r="I136" i="22" s="1"/>
  <c r="E137" i="22"/>
  <c r="D136" i="23"/>
  <c r="G135" i="23"/>
  <c r="I135" i="23" s="1"/>
  <c r="E136" i="23"/>
  <c r="G138" i="8"/>
  <c r="I138" i="8" s="1"/>
  <c r="J138" i="8" s="1"/>
  <c r="D139" i="8"/>
  <c r="E139" i="8"/>
  <c r="G128" i="41"/>
  <c r="I128" i="41" s="1"/>
  <c r="D129" i="41"/>
  <c r="E129" i="41"/>
  <c r="G133" i="27"/>
  <c r="I133" i="27" s="1"/>
  <c r="J133" i="27" s="1"/>
  <c r="D134" i="27"/>
  <c r="E134" i="27"/>
  <c r="G129" i="37"/>
  <c r="I129" i="37" s="1"/>
  <c r="D130" i="37"/>
  <c r="E130" i="37"/>
  <c r="H137" i="5"/>
  <c r="G137" i="5"/>
  <c r="I137" i="5" s="1"/>
  <c r="D138" i="5"/>
  <c r="E138" i="5"/>
  <c r="D138" i="4"/>
  <c r="G137" i="4"/>
  <c r="I137" i="4" s="1"/>
  <c r="J137" i="4" s="1"/>
  <c r="E138" i="4"/>
  <c r="D135" i="24"/>
  <c r="G134" i="24"/>
  <c r="I134" i="24" s="1"/>
  <c r="E135" i="24"/>
  <c r="H127" i="42"/>
  <c r="D128" i="42"/>
  <c r="G127" i="42"/>
  <c r="I127" i="42" s="1"/>
  <c r="E128" i="42"/>
  <c r="B141" i="7"/>
  <c r="H141" i="7"/>
  <c r="H128" i="38"/>
  <c r="G128" i="38"/>
  <c r="I128" i="38" s="1"/>
  <c r="D129" i="38"/>
  <c r="E129" i="38"/>
  <c r="H126" i="46"/>
  <c r="G126" i="46"/>
  <c r="I126" i="46" s="1"/>
  <c r="D127" i="46"/>
  <c r="E127" i="46"/>
  <c r="G138" i="6"/>
  <c r="I138" i="6" s="1"/>
  <c r="D139" i="6"/>
  <c r="E139" i="6"/>
  <c r="F140" i="10"/>
  <c r="B140" i="10"/>
  <c r="H129" i="39"/>
  <c r="G129" i="39"/>
  <c r="I129" i="39" s="1"/>
  <c r="D130" i="39"/>
  <c r="E130" i="39"/>
  <c r="H128" i="41"/>
  <c r="D128" i="45"/>
  <c r="G127" i="45"/>
  <c r="I127" i="45" s="1"/>
  <c r="J127" i="45" s="1"/>
  <c r="E128" i="45"/>
  <c r="G128" i="40"/>
  <c r="I128" i="40" s="1"/>
  <c r="J128" i="40" s="1"/>
  <c r="D129" i="40"/>
  <c r="E129" i="40"/>
  <c r="H138" i="6"/>
  <c r="D128" i="43"/>
  <c r="G127" i="43"/>
  <c r="I127" i="43" s="1"/>
  <c r="J127" i="43" s="1"/>
  <c r="E128" i="43"/>
  <c r="G127" i="44"/>
  <c r="I127" i="44" s="1"/>
  <c r="J127" i="44" s="1"/>
  <c r="D128" i="44"/>
  <c r="E128" i="44"/>
  <c r="D132" i="30"/>
  <c r="G131" i="30"/>
  <c r="I131" i="30" s="1"/>
  <c r="J131" i="30" s="1"/>
  <c r="E132" i="30"/>
  <c r="H132" i="28"/>
  <c r="D133" i="28"/>
  <c r="G132" i="28"/>
  <c r="I132" i="28" s="1"/>
  <c r="E133" i="28"/>
  <c r="H129" i="37"/>
  <c r="H136" i="25"/>
  <c r="D137" i="25"/>
  <c r="G136" i="25"/>
  <c r="I136" i="25" s="1"/>
  <c r="E137" i="25"/>
  <c r="J132" i="29" l="1"/>
  <c r="J132" i="31"/>
  <c r="J132" i="28"/>
  <c r="J128" i="41"/>
  <c r="E142" i="7"/>
  <c r="F142" i="7" s="1"/>
  <c r="G142" i="7" s="1"/>
  <c r="I142" i="7" s="1"/>
  <c r="J129" i="39"/>
  <c r="J127" i="42"/>
  <c r="J138" i="6"/>
  <c r="F135" i="24"/>
  <c r="H135" i="24" s="1"/>
  <c r="B135" i="24"/>
  <c r="B129" i="40"/>
  <c r="F129" i="40"/>
  <c r="H129" i="40" s="1"/>
  <c r="F127" i="46"/>
  <c r="B127" i="46"/>
  <c r="F130" i="37"/>
  <c r="H130" i="37" s="1"/>
  <c r="B130" i="37"/>
  <c r="F137" i="22"/>
  <c r="H137" i="22" s="1"/>
  <c r="B137" i="22"/>
  <c r="B138" i="3"/>
  <c r="F138" i="3"/>
  <c r="B137" i="25"/>
  <c r="F137" i="25"/>
  <c r="H137" i="25" s="1"/>
  <c r="F129" i="41"/>
  <c r="B129" i="41"/>
  <c r="B140" i="9"/>
  <c r="H140" i="9"/>
  <c r="B128" i="44"/>
  <c r="F128" i="44"/>
  <c r="H128" i="44" s="1"/>
  <c r="J126" i="46"/>
  <c r="J129" i="37"/>
  <c r="B139" i="8"/>
  <c r="F139" i="8"/>
  <c r="H139" i="8" s="1"/>
  <c r="F130" i="39"/>
  <c r="H130" i="39" s="1"/>
  <c r="B130" i="39"/>
  <c r="F138" i="4"/>
  <c r="B138" i="4"/>
  <c r="F132" i="30"/>
  <c r="H132" i="30" s="1"/>
  <c r="B132" i="30"/>
  <c r="F128" i="42"/>
  <c r="H128" i="42" s="1"/>
  <c r="B128" i="42"/>
  <c r="J141" i="7"/>
  <c r="B133" i="31"/>
  <c r="F133" i="31"/>
  <c r="F133" i="29"/>
  <c r="B133" i="29"/>
  <c r="F133" i="28"/>
  <c r="H133" i="28" s="1"/>
  <c r="B133" i="28"/>
  <c r="H140" i="10"/>
  <c r="D141" i="10"/>
  <c r="E141" i="10" s="1"/>
  <c r="F141" i="10" s="1"/>
  <c r="G140" i="10"/>
  <c r="I140" i="10" s="1"/>
  <c r="B134" i="27"/>
  <c r="F134" i="27"/>
  <c r="B128" i="45"/>
  <c r="F128" i="45"/>
  <c r="H128" i="45" s="1"/>
  <c r="B129" i="38"/>
  <c r="F129" i="38"/>
  <c r="B138" i="5"/>
  <c r="F138" i="5"/>
  <c r="D141" i="9"/>
  <c r="E141" i="9" s="1"/>
  <c r="F141" i="9" s="1"/>
  <c r="G140" i="9"/>
  <c r="I140" i="9" s="1"/>
  <c r="F128" i="43"/>
  <c r="B128" i="43"/>
  <c r="B139" i="6"/>
  <c r="F139" i="6"/>
  <c r="H139" i="6" s="1"/>
  <c r="J128" i="38"/>
  <c r="J137" i="5"/>
  <c r="B136" i="23"/>
  <c r="F136" i="23"/>
  <c r="E140" i="11"/>
  <c r="F140" i="11" s="1"/>
  <c r="H140" i="11" s="1"/>
  <c r="B140" i="11"/>
  <c r="D143" i="7" l="1"/>
  <c r="B143" i="7" s="1"/>
  <c r="H142" i="7"/>
  <c r="J142" i="7" s="1"/>
  <c r="D142" i="10"/>
  <c r="G141" i="10"/>
  <c r="I141" i="10" s="1"/>
  <c r="H138" i="4"/>
  <c r="G138" i="4"/>
  <c r="I138" i="4" s="1"/>
  <c r="D139" i="4"/>
  <c r="D128" i="46"/>
  <c r="G127" i="46"/>
  <c r="I127" i="46" s="1"/>
  <c r="E128" i="46"/>
  <c r="H136" i="23"/>
  <c r="D137" i="23"/>
  <c r="G136" i="23"/>
  <c r="I136" i="23" s="1"/>
  <c r="E137" i="23"/>
  <c r="G141" i="9"/>
  <c r="I141" i="9" s="1"/>
  <c r="D142" i="9"/>
  <c r="B142" i="9" s="1"/>
  <c r="B141" i="9"/>
  <c r="H141" i="9"/>
  <c r="H134" i="27"/>
  <c r="D135" i="27"/>
  <c r="G134" i="27"/>
  <c r="I134" i="27" s="1"/>
  <c r="E135" i="27"/>
  <c r="D134" i="28"/>
  <c r="G133" i="28"/>
  <c r="I133" i="28" s="1"/>
  <c r="J133" i="28" s="1"/>
  <c r="E134" i="28"/>
  <c r="G128" i="42"/>
  <c r="I128" i="42" s="1"/>
  <c r="J128" i="42" s="1"/>
  <c r="D129" i="42"/>
  <c r="E129" i="42"/>
  <c r="G130" i="39"/>
  <c r="I130" i="39" s="1"/>
  <c r="J130" i="39" s="1"/>
  <c r="J155" i="39" s="1"/>
  <c r="D131" i="39"/>
  <c r="E131" i="39"/>
  <c r="H129" i="41"/>
  <c r="D130" i="41"/>
  <c r="G129" i="41"/>
  <c r="I129" i="41" s="1"/>
  <c r="E130" i="41"/>
  <c r="D138" i="22"/>
  <c r="G137" i="22"/>
  <c r="I137" i="22" s="1"/>
  <c r="E138" i="22"/>
  <c r="D130" i="40"/>
  <c r="G129" i="40"/>
  <c r="I129" i="40" s="1"/>
  <c r="J129" i="40" s="1"/>
  <c r="E130" i="40"/>
  <c r="H128" i="43"/>
  <c r="D129" i="43"/>
  <c r="G128" i="43"/>
  <c r="I128" i="43" s="1"/>
  <c r="E129" i="43"/>
  <c r="D129" i="45"/>
  <c r="G128" i="45"/>
  <c r="I128" i="45" s="1"/>
  <c r="J128" i="45" s="1"/>
  <c r="E129" i="45"/>
  <c r="H138" i="5"/>
  <c r="G138" i="5"/>
  <c r="I138" i="5" s="1"/>
  <c r="D139" i="5"/>
  <c r="E139" i="5"/>
  <c r="D140" i="6"/>
  <c r="G139" i="6"/>
  <c r="I139" i="6" s="1"/>
  <c r="J139" i="6" s="1"/>
  <c r="H133" i="29"/>
  <c r="D134" i="29"/>
  <c r="G133" i="29"/>
  <c r="I133" i="29" s="1"/>
  <c r="E134" i="29"/>
  <c r="G137" i="25"/>
  <c r="I137" i="25" s="1"/>
  <c r="D138" i="25"/>
  <c r="E138" i="25"/>
  <c r="H129" i="38"/>
  <c r="D130" i="38"/>
  <c r="G129" i="38"/>
  <c r="I129" i="38" s="1"/>
  <c r="E130" i="38"/>
  <c r="J140" i="10"/>
  <c r="H133" i="31"/>
  <c r="G133" i="31"/>
  <c r="I133" i="31" s="1"/>
  <c r="D134" i="31"/>
  <c r="E134" i="31"/>
  <c r="G132" i="30"/>
  <c r="I132" i="30" s="1"/>
  <c r="J132" i="30" s="1"/>
  <c r="D133" i="30"/>
  <c r="E133" i="30"/>
  <c r="G128" i="44"/>
  <c r="I128" i="44" s="1"/>
  <c r="J128" i="44" s="1"/>
  <c r="D129" i="44"/>
  <c r="E129" i="44"/>
  <c r="G130" i="37"/>
  <c r="I130" i="37" s="1"/>
  <c r="J130" i="37" s="1"/>
  <c r="J155" i="37" s="1"/>
  <c r="D131" i="37"/>
  <c r="E131" i="37"/>
  <c r="D140" i="8"/>
  <c r="G139" i="8"/>
  <c r="I139" i="8" s="1"/>
  <c r="J139" i="8" s="1"/>
  <c r="D141" i="11"/>
  <c r="B141" i="11" s="1"/>
  <c r="G140" i="11"/>
  <c r="I140" i="11" s="1"/>
  <c r="B141" i="10"/>
  <c r="H141" i="10"/>
  <c r="H138" i="3"/>
  <c r="D139" i="3"/>
  <c r="G138" i="3"/>
  <c r="I138" i="3" s="1"/>
  <c r="E139" i="3"/>
  <c r="H127" i="46"/>
  <c r="D136" i="24"/>
  <c r="G135" i="24"/>
  <c r="I135" i="24" s="1"/>
  <c r="E136" i="24"/>
  <c r="E143" i="7" l="1"/>
  <c r="F143" i="7" s="1"/>
  <c r="J133" i="29"/>
  <c r="J128" i="43"/>
  <c r="E141" i="11"/>
  <c r="F141" i="11" s="1"/>
  <c r="H141" i="11" s="1"/>
  <c r="J138" i="3"/>
  <c r="J133" i="31"/>
  <c r="J134" i="27"/>
  <c r="J138" i="4"/>
  <c r="J129" i="38"/>
  <c r="B140" i="6"/>
  <c r="B130" i="41"/>
  <c r="F130" i="41"/>
  <c r="H130" i="41" s="1"/>
  <c r="F129" i="44"/>
  <c r="H129" i="44" s="1"/>
  <c r="B129" i="44"/>
  <c r="E142" i="9"/>
  <c r="F142" i="9" s="1"/>
  <c r="J127" i="46"/>
  <c r="F138" i="25"/>
  <c r="B138" i="25"/>
  <c r="B130" i="40"/>
  <c r="F130" i="40"/>
  <c r="H130" i="40" s="1"/>
  <c r="B134" i="28"/>
  <c r="F134" i="28"/>
  <c r="H134" i="28" s="1"/>
  <c r="F128" i="46"/>
  <c r="B128" i="46"/>
  <c r="F139" i="3"/>
  <c r="H139" i="3" s="1"/>
  <c r="B139" i="3"/>
  <c r="E140" i="8"/>
  <c r="F140" i="8" s="1"/>
  <c r="H140" i="8" s="1"/>
  <c r="B140" i="8"/>
  <c r="F133" i="30"/>
  <c r="H133" i="30" s="1"/>
  <c r="B133" i="30"/>
  <c r="B134" i="29"/>
  <c r="F134" i="29"/>
  <c r="F136" i="24"/>
  <c r="H136" i="24" s="1"/>
  <c r="B136" i="24"/>
  <c r="B130" i="38"/>
  <c r="F130" i="38"/>
  <c r="H130" i="38" s="1"/>
  <c r="B138" i="22"/>
  <c r="F138" i="22"/>
  <c r="H138" i="22" s="1"/>
  <c r="F135" i="27"/>
  <c r="B135" i="27"/>
  <c r="B129" i="45"/>
  <c r="F129" i="45"/>
  <c r="H129" i="45" s="1"/>
  <c r="F131" i="39"/>
  <c r="B131" i="39"/>
  <c r="E139" i="4"/>
  <c r="F139" i="4" s="1"/>
  <c r="H139" i="4" s="1"/>
  <c r="B139" i="4"/>
  <c r="F131" i="37"/>
  <c r="H131" i="37" s="1"/>
  <c r="B131" i="37"/>
  <c r="E140" i="6"/>
  <c r="F140" i="6" s="1"/>
  <c r="B139" i="5"/>
  <c r="F139" i="5"/>
  <c r="H139" i="5" s="1"/>
  <c r="B129" i="43"/>
  <c r="F129" i="43"/>
  <c r="H129" i="43" s="1"/>
  <c r="B129" i="42"/>
  <c r="F129" i="42"/>
  <c r="H129" i="42" s="1"/>
  <c r="F137" i="23"/>
  <c r="B137" i="23"/>
  <c r="J141" i="10"/>
  <c r="B134" i="31"/>
  <c r="F134" i="31"/>
  <c r="H134" i="31" s="1"/>
  <c r="J138" i="5"/>
  <c r="J129" i="41"/>
  <c r="E142" i="10"/>
  <c r="F142" i="10" s="1"/>
  <c r="B142" i="10"/>
  <c r="G141" i="11" l="1"/>
  <c r="I141" i="11" s="1"/>
  <c r="D142" i="11"/>
  <c r="E142" i="11" s="1"/>
  <c r="F142" i="11" s="1"/>
  <c r="G143" i="7"/>
  <c r="I143" i="7" s="1"/>
  <c r="D144" i="7"/>
  <c r="H143" i="7"/>
  <c r="G135" i="27"/>
  <c r="I135" i="27" s="1"/>
  <c r="D136" i="27"/>
  <c r="E136" i="27"/>
  <c r="D137" i="24"/>
  <c r="G136" i="24"/>
  <c r="I136" i="24" s="1"/>
  <c r="E137" i="24"/>
  <c r="G140" i="8"/>
  <c r="I140" i="8" s="1"/>
  <c r="J140" i="8" s="1"/>
  <c r="D141" i="8"/>
  <c r="B141" i="8" s="1"/>
  <c r="G134" i="28"/>
  <c r="I134" i="28" s="1"/>
  <c r="J134" i="28" s="1"/>
  <c r="D135" i="28"/>
  <c r="E135" i="28"/>
  <c r="D130" i="44"/>
  <c r="G129" i="44"/>
  <c r="I129" i="44" s="1"/>
  <c r="J129" i="44" s="1"/>
  <c r="E130" i="44"/>
  <c r="G139" i="5"/>
  <c r="I139" i="5" s="1"/>
  <c r="J139" i="5" s="1"/>
  <c r="D140" i="5"/>
  <c r="B140" i="5" s="1"/>
  <c r="G129" i="42"/>
  <c r="I129" i="42" s="1"/>
  <c r="J129" i="42" s="1"/>
  <c r="D130" i="42"/>
  <c r="E130" i="42"/>
  <c r="D141" i="6"/>
  <c r="E141" i="6" s="1"/>
  <c r="F141" i="6" s="1"/>
  <c r="G140" i="6"/>
  <c r="I140" i="6" s="1"/>
  <c r="H131" i="39"/>
  <c r="G131" i="39"/>
  <c r="I131" i="39" s="1"/>
  <c r="D132" i="39"/>
  <c r="E132" i="39"/>
  <c r="G138" i="22"/>
  <c r="I138" i="22" s="1"/>
  <c r="D139" i="22"/>
  <c r="E139" i="22" s="1"/>
  <c r="F139" i="22" s="1"/>
  <c r="H134" i="29"/>
  <c r="G134" i="29"/>
  <c r="I134" i="29" s="1"/>
  <c r="D135" i="29"/>
  <c r="E135" i="29"/>
  <c r="B142" i="11"/>
  <c r="H142" i="11"/>
  <c r="D140" i="4"/>
  <c r="B140" i="4" s="1"/>
  <c r="G139" i="4"/>
  <c r="I139" i="4" s="1"/>
  <c r="J139" i="4" s="1"/>
  <c r="D135" i="31"/>
  <c r="G134" i="31"/>
  <c r="I134" i="31" s="1"/>
  <c r="J134" i="31" s="1"/>
  <c r="E135" i="31"/>
  <c r="G130" i="41"/>
  <c r="I130" i="41" s="1"/>
  <c r="J130" i="41" s="1"/>
  <c r="J155" i="41" s="1"/>
  <c r="D131" i="41"/>
  <c r="E131" i="41"/>
  <c r="D143" i="10"/>
  <c r="G142" i="10"/>
  <c r="I142" i="10" s="1"/>
  <c r="G128" i="46"/>
  <c r="I128" i="46" s="1"/>
  <c r="D129" i="46"/>
  <c r="E129" i="46"/>
  <c r="G139" i="3"/>
  <c r="I139" i="3" s="1"/>
  <c r="J139" i="3" s="1"/>
  <c r="D140" i="3"/>
  <c r="B140" i="3" s="1"/>
  <c r="D131" i="40"/>
  <c r="G130" i="40"/>
  <c r="I130" i="40" s="1"/>
  <c r="J130" i="40" s="1"/>
  <c r="J155" i="40" s="1"/>
  <c r="E131" i="40"/>
  <c r="D138" i="23"/>
  <c r="G137" i="23"/>
  <c r="I137" i="23" s="1"/>
  <c r="E138" i="23"/>
  <c r="G129" i="45"/>
  <c r="I129" i="45" s="1"/>
  <c r="J129" i="45" s="1"/>
  <c r="D130" i="45"/>
  <c r="E130" i="45"/>
  <c r="H142" i="10"/>
  <c r="D130" i="43"/>
  <c r="G129" i="43"/>
  <c r="I129" i="43" s="1"/>
  <c r="J129" i="43" s="1"/>
  <c r="E130" i="43"/>
  <c r="G131" i="37"/>
  <c r="I131" i="37" s="1"/>
  <c r="D132" i="37"/>
  <c r="E132" i="37"/>
  <c r="G130" i="38"/>
  <c r="I130" i="38" s="1"/>
  <c r="J130" i="38" s="1"/>
  <c r="J155" i="38" s="1"/>
  <c r="D131" i="38"/>
  <c r="E131" i="38"/>
  <c r="H128" i="46"/>
  <c r="H142" i="9"/>
  <c r="G142" i="9"/>
  <c r="I142" i="9" s="1"/>
  <c r="D143" i="9"/>
  <c r="E143" i="9" s="1"/>
  <c r="F143" i="9" s="1"/>
  <c r="H140" i="6"/>
  <c r="H138" i="25"/>
  <c r="G138" i="25"/>
  <c r="I138" i="25" s="1"/>
  <c r="D139" i="25"/>
  <c r="E139" i="25"/>
  <c r="G142" i="11"/>
  <c r="I142" i="11" s="1"/>
  <c r="D143" i="11"/>
  <c r="H137" i="23"/>
  <c r="H135" i="27"/>
  <c r="D134" i="30"/>
  <c r="G133" i="30"/>
  <c r="I133" i="30" s="1"/>
  <c r="J133" i="30" s="1"/>
  <c r="E134" i="30"/>
  <c r="B144" i="7" l="1"/>
  <c r="E144" i="7"/>
  <c r="F144" i="7" s="1"/>
  <c r="J143" i="7"/>
  <c r="E140" i="3"/>
  <c r="F140" i="3" s="1"/>
  <c r="D141" i="3" s="1"/>
  <c r="E141" i="3" s="1"/>
  <c r="F141" i="3" s="1"/>
  <c r="E140" i="4"/>
  <c r="F140" i="4" s="1"/>
  <c r="D141" i="4" s="1"/>
  <c r="E141" i="4" s="1"/>
  <c r="F141" i="4" s="1"/>
  <c r="J142" i="10"/>
  <c r="E140" i="5"/>
  <c r="F140" i="5" s="1"/>
  <c r="H140" i="5" s="1"/>
  <c r="G141" i="6"/>
  <c r="I141" i="6" s="1"/>
  <c r="D142" i="6"/>
  <c r="E142" i="6" s="1"/>
  <c r="F142" i="6" s="1"/>
  <c r="B130" i="45"/>
  <c r="F130" i="45"/>
  <c r="B143" i="9"/>
  <c r="H143" i="9"/>
  <c r="B132" i="37"/>
  <c r="F132" i="37"/>
  <c r="B139" i="22"/>
  <c r="H139" i="22"/>
  <c r="B141" i="6"/>
  <c r="H141" i="6"/>
  <c r="F131" i="40"/>
  <c r="H131" i="40" s="1"/>
  <c r="B131" i="40"/>
  <c r="B131" i="41"/>
  <c r="F131" i="41"/>
  <c r="B130" i="44"/>
  <c r="F130" i="44"/>
  <c r="D140" i="22"/>
  <c r="B140" i="22" s="1"/>
  <c r="G139" i="22"/>
  <c r="I139" i="22" s="1"/>
  <c r="B130" i="42"/>
  <c r="F130" i="42"/>
  <c r="B137" i="24"/>
  <c r="F137" i="24"/>
  <c r="D144" i="9"/>
  <c r="G143" i="9"/>
  <c r="I143" i="9" s="1"/>
  <c r="B143" i="10"/>
  <c r="E143" i="11"/>
  <c r="F143" i="11" s="1"/>
  <c r="H143" i="11" s="1"/>
  <c r="B143" i="11"/>
  <c r="B139" i="25"/>
  <c r="F139" i="25"/>
  <c r="H139" i="25" s="1"/>
  <c r="F138" i="23"/>
  <c r="H138" i="23" s="1"/>
  <c r="B138" i="23"/>
  <c r="F129" i="46"/>
  <c r="B129" i="46"/>
  <c r="B132" i="39"/>
  <c r="F132" i="39"/>
  <c r="F135" i="28"/>
  <c r="H135" i="28" s="1"/>
  <c r="B135" i="28"/>
  <c r="B130" i="43"/>
  <c r="F130" i="43"/>
  <c r="H130" i="43" s="1"/>
  <c r="J128" i="46"/>
  <c r="B135" i="29"/>
  <c r="F135" i="29"/>
  <c r="B136" i="27"/>
  <c r="F136" i="27"/>
  <c r="G140" i="3"/>
  <c r="I140" i="3" s="1"/>
  <c r="J140" i="6"/>
  <c r="B134" i="30"/>
  <c r="F134" i="30"/>
  <c r="H134" i="30" s="1"/>
  <c r="B131" i="38"/>
  <c r="F131" i="38"/>
  <c r="E143" i="10"/>
  <c r="F143" i="10" s="1"/>
  <c r="H143" i="10" s="1"/>
  <c r="F135" i="31"/>
  <c r="B135" i="31"/>
  <c r="J134" i="29"/>
  <c r="E141" i="8"/>
  <c r="F141" i="8" s="1"/>
  <c r="J135" i="27"/>
  <c r="H140" i="3" l="1"/>
  <c r="H140" i="4"/>
  <c r="G140" i="4"/>
  <c r="I140" i="4" s="1"/>
  <c r="D141" i="5"/>
  <c r="E141" i="5" s="1"/>
  <c r="F141" i="5" s="1"/>
  <c r="D142" i="5" s="1"/>
  <c r="E142" i="5" s="1"/>
  <c r="F142" i="5" s="1"/>
  <c r="E140" i="22"/>
  <c r="F140" i="22" s="1"/>
  <c r="G140" i="22" s="1"/>
  <c r="I140" i="22" s="1"/>
  <c r="D145" i="7"/>
  <c r="H144" i="7"/>
  <c r="G144" i="7"/>
  <c r="I144" i="7" s="1"/>
  <c r="G140" i="5"/>
  <c r="I140" i="5" s="1"/>
  <c r="J140" i="5" s="1"/>
  <c r="D144" i="10"/>
  <c r="E144" i="10" s="1"/>
  <c r="F144" i="10" s="1"/>
  <c r="G143" i="10"/>
  <c r="I143" i="10" s="1"/>
  <c r="J143" i="10" s="1"/>
  <c r="J140" i="3"/>
  <c r="H129" i="46"/>
  <c r="D130" i="46"/>
  <c r="G129" i="46"/>
  <c r="I129" i="46" s="1"/>
  <c r="E130" i="46"/>
  <c r="H130" i="42"/>
  <c r="D131" i="42"/>
  <c r="G130" i="42"/>
  <c r="I130" i="42" s="1"/>
  <c r="E131" i="42"/>
  <c r="H131" i="38"/>
  <c r="G131" i="38"/>
  <c r="I131" i="38" s="1"/>
  <c r="D132" i="38"/>
  <c r="E132" i="38"/>
  <c r="B141" i="3"/>
  <c r="H141" i="3"/>
  <c r="H135" i="29"/>
  <c r="G135" i="29"/>
  <c r="I135" i="29" s="1"/>
  <c r="D136" i="29"/>
  <c r="E136" i="29"/>
  <c r="D144" i="11"/>
  <c r="G143" i="11"/>
  <c r="I143" i="11" s="1"/>
  <c r="H131" i="41"/>
  <c r="D132" i="41"/>
  <c r="G131" i="41"/>
  <c r="I131" i="41" s="1"/>
  <c r="E132" i="41"/>
  <c r="G131" i="40"/>
  <c r="I131" i="40" s="1"/>
  <c r="D132" i="40"/>
  <c r="E132" i="40"/>
  <c r="H130" i="45"/>
  <c r="D131" i="45"/>
  <c r="G130" i="45"/>
  <c r="I130" i="45" s="1"/>
  <c r="E131" i="45"/>
  <c r="D139" i="23"/>
  <c r="G138" i="23"/>
  <c r="I138" i="23" s="1"/>
  <c r="D142" i="4"/>
  <c r="B142" i="4" s="1"/>
  <c r="G141" i="4"/>
  <c r="I141" i="4" s="1"/>
  <c r="G141" i="3"/>
  <c r="I141" i="3" s="1"/>
  <c r="D142" i="3"/>
  <c r="B142" i="3" s="1"/>
  <c r="H130" i="44"/>
  <c r="D131" i="44"/>
  <c r="G130" i="44"/>
  <c r="I130" i="44" s="1"/>
  <c r="E131" i="44"/>
  <c r="H141" i="8"/>
  <c r="D142" i="8"/>
  <c r="B142" i="8" s="1"/>
  <c r="G141" i="8"/>
  <c r="I141" i="8" s="1"/>
  <c r="G134" i="30"/>
  <c r="I134" i="30" s="1"/>
  <c r="J134" i="30" s="1"/>
  <c r="D135" i="30"/>
  <c r="E135" i="30"/>
  <c r="G135" i="28"/>
  <c r="I135" i="28" s="1"/>
  <c r="J135" i="28" s="1"/>
  <c r="D136" i="28"/>
  <c r="E136" i="28"/>
  <c r="D141" i="22"/>
  <c r="B141" i="22" s="1"/>
  <c r="B141" i="4"/>
  <c r="H141" i="4"/>
  <c r="D143" i="6"/>
  <c r="E143" i="6" s="1"/>
  <c r="F143" i="6" s="1"/>
  <c r="G142" i="6"/>
  <c r="I142" i="6" s="1"/>
  <c r="H135" i="31"/>
  <c r="G135" i="31"/>
  <c r="I135" i="31" s="1"/>
  <c r="D136" i="31"/>
  <c r="E136" i="31"/>
  <c r="G130" i="43"/>
  <c r="I130" i="43" s="1"/>
  <c r="J130" i="43" s="1"/>
  <c r="J155" i="43" s="1"/>
  <c r="D131" i="43"/>
  <c r="E131" i="43"/>
  <c r="H132" i="39"/>
  <c r="D133" i="39"/>
  <c r="G132" i="39"/>
  <c r="I132" i="39" s="1"/>
  <c r="E133" i="39"/>
  <c r="G139" i="25"/>
  <c r="I139" i="25" s="1"/>
  <c r="D140" i="25"/>
  <c r="E140" i="25"/>
  <c r="E144" i="9"/>
  <c r="F144" i="9" s="1"/>
  <c r="H144" i="9" s="1"/>
  <c r="B144" i="9"/>
  <c r="B142" i="6"/>
  <c r="H142" i="6"/>
  <c r="H136" i="27"/>
  <c r="G136" i="27"/>
  <c r="I136" i="27" s="1"/>
  <c r="D137" i="27"/>
  <c r="E137" i="27"/>
  <c r="H141" i="5"/>
  <c r="H137" i="24"/>
  <c r="D138" i="24"/>
  <c r="G137" i="24"/>
  <c r="I137" i="24" s="1"/>
  <c r="E138" i="24"/>
  <c r="H132" i="37"/>
  <c r="D133" i="37"/>
  <c r="G132" i="37"/>
  <c r="I132" i="37" s="1"/>
  <c r="E133" i="37"/>
  <c r="J141" i="6"/>
  <c r="J140" i="4" l="1"/>
  <c r="H140" i="22"/>
  <c r="B141" i="5"/>
  <c r="G141" i="5"/>
  <c r="I141" i="5" s="1"/>
  <c r="J141" i="5" s="1"/>
  <c r="J144" i="7"/>
  <c r="J130" i="45"/>
  <c r="J155" i="45" s="1"/>
  <c r="E145" i="7"/>
  <c r="F145" i="7" s="1"/>
  <c r="H145" i="7" s="1"/>
  <c r="B145" i="7"/>
  <c r="E142" i="4"/>
  <c r="F142" i="4" s="1"/>
  <c r="H142" i="4" s="1"/>
  <c r="J141" i="3"/>
  <c r="J141" i="8"/>
  <c r="J130" i="42"/>
  <c r="J155" i="42" s="1"/>
  <c r="J136" i="27"/>
  <c r="J130" i="44"/>
  <c r="J155" i="44" s="1"/>
  <c r="J142" i="6"/>
  <c r="J129" i="46"/>
  <c r="E142" i="8"/>
  <c r="F142" i="8" s="1"/>
  <c r="H142" i="8" s="1"/>
  <c r="E142" i="3"/>
  <c r="F142" i="3" s="1"/>
  <c r="G142" i="3" s="1"/>
  <c r="I142" i="3" s="1"/>
  <c r="F137" i="27"/>
  <c r="H137" i="27" s="1"/>
  <c r="B137" i="27"/>
  <c r="E144" i="11"/>
  <c r="F144" i="11" s="1"/>
  <c r="H144" i="11" s="1"/>
  <c r="B144" i="11"/>
  <c r="F140" i="25"/>
  <c r="B140" i="25"/>
  <c r="G143" i="6"/>
  <c r="I143" i="6" s="1"/>
  <c r="D144" i="6"/>
  <c r="E144" i="6" s="1"/>
  <c r="F144" i="6" s="1"/>
  <c r="F132" i="40"/>
  <c r="B132" i="40"/>
  <c r="F130" i="46"/>
  <c r="B130" i="46"/>
  <c r="B139" i="23"/>
  <c r="G142" i="5"/>
  <c r="I142" i="5" s="1"/>
  <c r="D143" i="5"/>
  <c r="B136" i="29"/>
  <c r="F136" i="29"/>
  <c r="B131" i="43"/>
  <c r="F131" i="43"/>
  <c r="H131" i="43" s="1"/>
  <c r="B132" i="38"/>
  <c r="F132" i="38"/>
  <c r="H132" i="38" s="1"/>
  <c r="B138" i="24"/>
  <c r="F138" i="24"/>
  <c r="B143" i="6"/>
  <c r="H143" i="6"/>
  <c r="F136" i="28"/>
  <c r="B136" i="28"/>
  <c r="J135" i="29"/>
  <c r="J141" i="4"/>
  <c r="B142" i="5"/>
  <c r="H142" i="5"/>
  <c r="F132" i="41"/>
  <c r="H132" i="41" s="1"/>
  <c r="B132" i="41"/>
  <c r="B131" i="42"/>
  <c r="F131" i="42"/>
  <c r="H131" i="42" s="1"/>
  <c r="G144" i="10"/>
  <c r="I144" i="10" s="1"/>
  <c r="D145" i="10"/>
  <c r="E145" i="10" s="1"/>
  <c r="F145" i="10" s="1"/>
  <c r="B133" i="39"/>
  <c r="F133" i="39"/>
  <c r="F136" i="31"/>
  <c r="B136" i="31"/>
  <c r="E141" i="22"/>
  <c r="F141" i="22" s="1"/>
  <c r="F135" i="30"/>
  <c r="B135" i="30"/>
  <c r="F131" i="44"/>
  <c r="H131" i="44" s="1"/>
  <c r="B131" i="44"/>
  <c r="E139" i="23"/>
  <c r="F139" i="23" s="1"/>
  <c r="H139" i="23" s="1"/>
  <c r="B131" i="45"/>
  <c r="F131" i="45"/>
  <c r="H131" i="45" s="1"/>
  <c r="B133" i="37"/>
  <c r="F133" i="37"/>
  <c r="D145" i="9"/>
  <c r="G144" i="9"/>
  <c r="I144" i="9" s="1"/>
  <c r="J135" i="31"/>
  <c r="B144" i="10"/>
  <c r="H144" i="10"/>
  <c r="H142" i="3" l="1"/>
  <c r="J142" i="3" s="1"/>
  <c r="G142" i="4"/>
  <c r="I142" i="4" s="1"/>
  <c r="D143" i="4"/>
  <c r="B143" i="4" s="1"/>
  <c r="D143" i="3"/>
  <c r="E143" i="3" s="1"/>
  <c r="F143" i="3" s="1"/>
  <c r="H143" i="3" s="1"/>
  <c r="D146" i="7"/>
  <c r="E146" i="7" s="1"/>
  <c r="F146" i="7" s="1"/>
  <c r="G145" i="7"/>
  <c r="I145" i="7" s="1"/>
  <c r="J145" i="7" s="1"/>
  <c r="D143" i="8"/>
  <c r="E143" i="8" s="1"/>
  <c r="F143" i="8" s="1"/>
  <c r="H143" i="8" s="1"/>
  <c r="G142" i="8"/>
  <c r="I142" i="8" s="1"/>
  <c r="J142" i="8" s="1"/>
  <c r="J142" i="5"/>
  <c r="H133" i="39"/>
  <c r="G133" i="39"/>
  <c r="I133" i="39" s="1"/>
  <c r="D134" i="39"/>
  <c r="E134" i="39"/>
  <c r="E143" i="5"/>
  <c r="F143" i="5" s="1"/>
  <c r="H143" i="5" s="1"/>
  <c r="B143" i="5"/>
  <c r="D133" i="40"/>
  <c r="G132" i="40"/>
  <c r="I132" i="40" s="1"/>
  <c r="E133" i="40"/>
  <c r="D141" i="25"/>
  <c r="B141" i="25" s="1"/>
  <c r="G140" i="25"/>
  <c r="I140" i="25" s="1"/>
  <c r="H133" i="37"/>
  <c r="G133" i="37"/>
  <c r="I133" i="37" s="1"/>
  <c r="D134" i="37"/>
  <c r="E134" i="37"/>
  <c r="D132" i="44"/>
  <c r="G131" i="44"/>
  <c r="I131" i="44" s="1"/>
  <c r="E132" i="44"/>
  <c r="H136" i="28"/>
  <c r="D137" i="28"/>
  <c r="G136" i="28"/>
  <c r="I136" i="28" s="1"/>
  <c r="E137" i="28"/>
  <c r="D132" i="42"/>
  <c r="G131" i="42"/>
  <c r="I131" i="42" s="1"/>
  <c r="E132" i="42"/>
  <c r="D133" i="38"/>
  <c r="G132" i="38"/>
  <c r="I132" i="38" s="1"/>
  <c r="E133" i="38"/>
  <c r="H135" i="30"/>
  <c r="G135" i="30"/>
  <c r="I135" i="30" s="1"/>
  <c r="D136" i="30"/>
  <c r="E136" i="30"/>
  <c r="G131" i="43"/>
  <c r="I131" i="43" s="1"/>
  <c r="D132" i="43"/>
  <c r="E132" i="43"/>
  <c r="G144" i="6"/>
  <c r="I144" i="6" s="1"/>
  <c r="D145" i="6"/>
  <c r="G144" i="11"/>
  <c r="I144" i="11" s="1"/>
  <c r="D145" i="11"/>
  <c r="E145" i="9"/>
  <c r="F145" i="9" s="1"/>
  <c r="H145" i="9" s="1"/>
  <c r="B145" i="9"/>
  <c r="G131" i="45"/>
  <c r="I131" i="45" s="1"/>
  <c r="D132" i="45"/>
  <c r="E132" i="45"/>
  <c r="H141" i="22"/>
  <c r="G141" i="22"/>
  <c r="I141" i="22" s="1"/>
  <c r="D142" i="22"/>
  <c r="B142" i="22" s="1"/>
  <c r="G145" i="10"/>
  <c r="I145" i="10" s="1"/>
  <c r="D146" i="10"/>
  <c r="E146" i="10" s="1"/>
  <c r="F146" i="10" s="1"/>
  <c r="G132" i="41"/>
  <c r="I132" i="41" s="1"/>
  <c r="D133" i="41"/>
  <c r="E133" i="41"/>
  <c r="H130" i="46"/>
  <c r="D131" i="46"/>
  <c r="G130" i="46"/>
  <c r="I130" i="46" s="1"/>
  <c r="E131" i="46"/>
  <c r="B144" i="6"/>
  <c r="H144" i="6"/>
  <c r="B145" i="10"/>
  <c r="H145" i="10"/>
  <c r="J142" i="4"/>
  <c r="H138" i="24"/>
  <c r="G138" i="24"/>
  <c r="I138" i="24" s="1"/>
  <c r="D139" i="24"/>
  <c r="B139" i="24" s="1"/>
  <c r="H136" i="29"/>
  <c r="D137" i="29"/>
  <c r="G136" i="29"/>
  <c r="I136" i="29" s="1"/>
  <c r="E137" i="29"/>
  <c r="H132" i="40"/>
  <c r="J143" i="6"/>
  <c r="G139" i="23"/>
  <c r="I139" i="23" s="1"/>
  <c r="D140" i="23"/>
  <c r="B140" i="23" s="1"/>
  <c r="H136" i="31"/>
  <c r="D137" i="31"/>
  <c r="G136" i="31"/>
  <c r="I136" i="31" s="1"/>
  <c r="E137" i="31"/>
  <c r="J144" i="10"/>
  <c r="H140" i="25"/>
  <c r="D138" i="27"/>
  <c r="G137" i="27"/>
  <c r="I137" i="27" s="1"/>
  <c r="J137" i="27" s="1"/>
  <c r="B143" i="3" l="1"/>
  <c r="E143" i="4"/>
  <c r="F143" i="4" s="1"/>
  <c r="H143" i="4" s="1"/>
  <c r="B143" i="8"/>
  <c r="G146" i="7"/>
  <c r="I146" i="7" s="1"/>
  <c r="D147" i="7"/>
  <c r="B147" i="7" s="1"/>
  <c r="B146" i="7"/>
  <c r="H146" i="7"/>
  <c r="J135" i="30"/>
  <c r="J136" i="29"/>
  <c r="D144" i="4"/>
  <c r="G143" i="4"/>
  <c r="I143" i="4" s="1"/>
  <c r="J143" i="4" s="1"/>
  <c r="E142" i="22"/>
  <c r="F142" i="22" s="1"/>
  <c r="H142" i="22" s="1"/>
  <c r="J136" i="28"/>
  <c r="E140" i="23"/>
  <c r="F140" i="23" s="1"/>
  <c r="H140" i="23" s="1"/>
  <c r="G146" i="10"/>
  <c r="I146" i="10" s="1"/>
  <c r="D147" i="10"/>
  <c r="E147" i="10" s="1"/>
  <c r="F147" i="10" s="1"/>
  <c r="B137" i="31"/>
  <c r="F137" i="31"/>
  <c r="H137" i="31" s="1"/>
  <c r="J145" i="10"/>
  <c r="J136" i="31"/>
  <c r="B132" i="45"/>
  <c r="F132" i="45"/>
  <c r="H132" i="45" s="1"/>
  <c r="E145" i="11"/>
  <c r="F145" i="11" s="1"/>
  <c r="H145" i="11" s="1"/>
  <c r="B145" i="11"/>
  <c r="F136" i="30"/>
  <c r="B136" i="30"/>
  <c r="F132" i="42"/>
  <c r="H132" i="42" s="1"/>
  <c r="B132" i="42"/>
  <c r="E141" i="25"/>
  <c r="F141" i="25" s="1"/>
  <c r="B133" i="40"/>
  <c r="F133" i="40"/>
  <c r="H133" i="40" s="1"/>
  <c r="E145" i="6"/>
  <c r="F145" i="6" s="1"/>
  <c r="H145" i="6" s="1"/>
  <c r="B145" i="6"/>
  <c r="J144" i="6"/>
  <c r="B132" i="44"/>
  <c r="F132" i="44"/>
  <c r="H132" i="44" s="1"/>
  <c r="G143" i="5"/>
  <c r="I143" i="5" s="1"/>
  <c r="J143" i="5" s="1"/>
  <c r="D144" i="5"/>
  <c r="E144" i="5" s="1"/>
  <c r="F144" i="5" s="1"/>
  <c r="B146" i="10"/>
  <c r="H146" i="10"/>
  <c r="E138" i="27"/>
  <c r="F138" i="27" s="1"/>
  <c r="B138" i="27"/>
  <c r="E139" i="24"/>
  <c r="F139" i="24" s="1"/>
  <c r="G143" i="3"/>
  <c r="I143" i="3" s="1"/>
  <c r="J143" i="3" s="1"/>
  <c r="D144" i="3"/>
  <c r="B144" i="3" s="1"/>
  <c r="B132" i="43"/>
  <c r="F132" i="43"/>
  <c r="B133" i="38"/>
  <c r="F133" i="38"/>
  <c r="F134" i="37"/>
  <c r="H134" i="37" s="1"/>
  <c r="B134" i="37"/>
  <c r="G143" i="8"/>
  <c r="I143" i="8" s="1"/>
  <c r="J143" i="8" s="1"/>
  <c r="D144" i="8"/>
  <c r="B144" i="8" s="1"/>
  <c r="B134" i="39"/>
  <c r="F134" i="39"/>
  <c r="H134" i="39" s="1"/>
  <c r="J130" i="46"/>
  <c r="J155" i="46" s="1"/>
  <c r="B133" i="41"/>
  <c r="F133" i="41"/>
  <c r="H133" i="41" s="1"/>
  <c r="F137" i="28"/>
  <c r="H137" i="28" s="1"/>
  <c r="B137" i="28"/>
  <c r="F137" i="29"/>
  <c r="B137" i="29"/>
  <c r="F131" i="46"/>
  <c r="B131" i="46"/>
  <c r="D146" i="9"/>
  <c r="G145" i="9"/>
  <c r="I145" i="9" s="1"/>
  <c r="E147" i="7" l="1"/>
  <c r="F147" i="7" s="1"/>
  <c r="J146" i="7"/>
  <c r="G140" i="23"/>
  <c r="I140" i="23" s="1"/>
  <c r="D141" i="23"/>
  <c r="E141" i="23" s="1"/>
  <c r="F141" i="23" s="1"/>
  <c r="H141" i="23" s="1"/>
  <c r="G142" i="22"/>
  <c r="I142" i="22" s="1"/>
  <c r="D143" i="22"/>
  <c r="B143" i="22" s="1"/>
  <c r="B144" i="4"/>
  <c r="E144" i="4"/>
  <c r="F144" i="4" s="1"/>
  <c r="G144" i="5"/>
  <c r="I144" i="5" s="1"/>
  <c r="D145" i="5"/>
  <c r="B145" i="5" s="1"/>
  <c r="E146" i="9"/>
  <c r="F146" i="9" s="1"/>
  <c r="H146" i="9" s="1"/>
  <c r="B146" i="9"/>
  <c r="E144" i="8"/>
  <c r="F144" i="8" s="1"/>
  <c r="H132" i="43"/>
  <c r="G132" i="43"/>
  <c r="I132" i="43" s="1"/>
  <c r="D133" i="43"/>
  <c r="E133" i="43"/>
  <c r="G138" i="27"/>
  <c r="I138" i="27" s="1"/>
  <c r="D139" i="27"/>
  <c r="E139" i="27" s="1"/>
  <c r="F139" i="27" s="1"/>
  <c r="D134" i="40"/>
  <c r="G133" i="40"/>
  <c r="I133" i="40" s="1"/>
  <c r="E134" i="40"/>
  <c r="H131" i="46"/>
  <c r="G131" i="46"/>
  <c r="I131" i="46" s="1"/>
  <c r="D132" i="46"/>
  <c r="E132" i="46"/>
  <c r="E144" i="3"/>
  <c r="F144" i="3" s="1"/>
  <c r="D133" i="44"/>
  <c r="G132" i="44"/>
  <c r="I132" i="44" s="1"/>
  <c r="E133" i="44"/>
  <c r="D146" i="6"/>
  <c r="B146" i="6" s="1"/>
  <c r="G145" i="6"/>
  <c r="I145" i="6" s="1"/>
  <c r="J145" i="6" s="1"/>
  <c r="H141" i="25"/>
  <c r="G141" i="25"/>
  <c r="I141" i="25" s="1"/>
  <c r="D142" i="25"/>
  <c r="B142" i="25" s="1"/>
  <c r="G137" i="31"/>
  <c r="I137" i="31" s="1"/>
  <c r="J137" i="31" s="1"/>
  <c r="D138" i="31"/>
  <c r="E138" i="31"/>
  <c r="G133" i="41"/>
  <c r="I133" i="41" s="1"/>
  <c r="D134" i="41"/>
  <c r="E134" i="41"/>
  <c r="G145" i="11"/>
  <c r="I145" i="11" s="1"/>
  <c r="D146" i="11"/>
  <c r="B146" i="11" s="1"/>
  <c r="D135" i="37"/>
  <c r="G134" i="37"/>
  <c r="I134" i="37" s="1"/>
  <c r="E135" i="37"/>
  <c r="H139" i="24"/>
  <c r="G139" i="24"/>
  <c r="I139" i="24" s="1"/>
  <c r="D140" i="24"/>
  <c r="B140" i="24" s="1"/>
  <c r="G147" i="10"/>
  <c r="I147" i="10" s="1"/>
  <c r="D148" i="10"/>
  <c r="E148" i="10" s="1"/>
  <c r="F148" i="10" s="1"/>
  <c r="D135" i="39"/>
  <c r="G134" i="39"/>
  <c r="I134" i="39" s="1"/>
  <c r="E135" i="39"/>
  <c r="H133" i="38"/>
  <c r="D134" i="38"/>
  <c r="G133" i="38"/>
  <c r="I133" i="38" s="1"/>
  <c r="E134" i="38"/>
  <c r="D133" i="42"/>
  <c r="G132" i="42"/>
  <c r="I132" i="42" s="1"/>
  <c r="E133" i="42"/>
  <c r="G132" i="45"/>
  <c r="I132" i="45" s="1"/>
  <c r="D133" i="45"/>
  <c r="E133" i="45"/>
  <c r="B147" i="10"/>
  <c r="H147" i="10"/>
  <c r="G136" i="30"/>
  <c r="I136" i="30" s="1"/>
  <c r="D137" i="30"/>
  <c r="E137" i="30"/>
  <c r="H137" i="29"/>
  <c r="G137" i="29"/>
  <c r="I137" i="29" s="1"/>
  <c r="D138" i="29"/>
  <c r="E138" i="29"/>
  <c r="D138" i="28"/>
  <c r="B138" i="28" s="1"/>
  <c r="G137" i="28"/>
  <c r="I137" i="28" s="1"/>
  <c r="J137" i="28" s="1"/>
  <c r="H138" i="27"/>
  <c r="B144" i="5"/>
  <c r="H144" i="5"/>
  <c r="H136" i="30"/>
  <c r="J146" i="10"/>
  <c r="H147" i="7" l="1"/>
  <c r="G147" i="7"/>
  <c r="I147" i="7" s="1"/>
  <c r="D148" i="7"/>
  <c r="E148" i="7" s="1"/>
  <c r="F148" i="7" s="1"/>
  <c r="E138" i="28"/>
  <c r="F138" i="28" s="1"/>
  <c r="H138" i="28" s="1"/>
  <c r="B141" i="23"/>
  <c r="E146" i="6"/>
  <c r="F146" i="6" s="1"/>
  <c r="H146" i="6" s="1"/>
  <c r="J137" i="29"/>
  <c r="E143" i="22"/>
  <c r="F143" i="22" s="1"/>
  <c r="H144" i="4"/>
  <c r="D145" i="4"/>
  <c r="G144" i="4"/>
  <c r="I144" i="4" s="1"/>
  <c r="E145" i="5"/>
  <c r="F145" i="5" s="1"/>
  <c r="H145" i="5" s="1"/>
  <c r="F137" i="30"/>
  <c r="H137" i="30" s="1"/>
  <c r="B137" i="30"/>
  <c r="E140" i="24"/>
  <c r="F140" i="24" s="1"/>
  <c r="H144" i="8"/>
  <c r="D145" i="8"/>
  <c r="G144" i="8"/>
  <c r="I144" i="8" s="1"/>
  <c r="E146" i="11"/>
  <c r="F146" i="11" s="1"/>
  <c r="B134" i="41"/>
  <c r="F134" i="41"/>
  <c r="B134" i="40"/>
  <c r="F134" i="40"/>
  <c r="G139" i="27"/>
  <c r="I139" i="27" s="1"/>
  <c r="D140" i="27"/>
  <c r="E140" i="27" s="1"/>
  <c r="F140" i="27" s="1"/>
  <c r="B148" i="10"/>
  <c r="H148" i="10"/>
  <c r="B138" i="31"/>
  <c r="F138" i="31"/>
  <c r="H138" i="31" s="1"/>
  <c r="B139" i="27"/>
  <c r="H139" i="27"/>
  <c r="J136" i="30"/>
  <c r="J147" i="10"/>
  <c r="B132" i="46"/>
  <c r="F132" i="46"/>
  <c r="J138" i="27"/>
  <c r="G146" i="9"/>
  <c r="I146" i="9" s="1"/>
  <c r="D147" i="9"/>
  <c r="E147" i="9" s="1"/>
  <c r="F147" i="9" s="1"/>
  <c r="B135" i="39"/>
  <c r="F135" i="39"/>
  <c r="H135" i="39" s="1"/>
  <c r="G148" i="10"/>
  <c r="I148" i="10" s="1"/>
  <c r="D149" i="10"/>
  <c r="F138" i="29"/>
  <c r="B138" i="29"/>
  <c r="F134" i="38"/>
  <c r="B134" i="38"/>
  <c r="E142" i="25"/>
  <c r="F142" i="25" s="1"/>
  <c r="D142" i="23"/>
  <c r="B142" i="23" s="1"/>
  <c r="G141" i="23"/>
  <c r="I141" i="23" s="1"/>
  <c r="F133" i="42"/>
  <c r="H133" i="42" s="1"/>
  <c r="B133" i="42"/>
  <c r="H144" i="3"/>
  <c r="G144" i="3"/>
  <c r="I144" i="3" s="1"/>
  <c r="D145" i="3"/>
  <c r="B145" i="3" s="1"/>
  <c r="F133" i="44"/>
  <c r="B133" i="44"/>
  <c r="B133" i="43"/>
  <c r="F133" i="43"/>
  <c r="B133" i="45"/>
  <c r="F133" i="45"/>
  <c r="F135" i="37"/>
  <c r="H135" i="37" s="1"/>
  <c r="B135" i="37"/>
  <c r="J144" i="5"/>
  <c r="J147" i="7" l="1"/>
  <c r="G138" i="28"/>
  <c r="I138" i="28" s="1"/>
  <c r="D139" i="28"/>
  <c r="B139" i="28" s="1"/>
  <c r="G146" i="6"/>
  <c r="I146" i="6" s="1"/>
  <c r="D149" i="7"/>
  <c r="G148" i="7"/>
  <c r="I148" i="7" s="1"/>
  <c r="D147" i="6"/>
  <c r="B147" i="6" s="1"/>
  <c r="B148" i="7"/>
  <c r="H148" i="7"/>
  <c r="J144" i="4"/>
  <c r="B145" i="4"/>
  <c r="D144" i="22"/>
  <c r="G143" i="22"/>
  <c r="I143" i="22" s="1"/>
  <c r="D146" i="5"/>
  <c r="E146" i="5" s="1"/>
  <c r="F146" i="5" s="1"/>
  <c r="E145" i="4"/>
  <c r="F145" i="4" s="1"/>
  <c r="G145" i="5"/>
  <c r="I145" i="5" s="1"/>
  <c r="J145" i="5" s="1"/>
  <c r="J148" i="10"/>
  <c r="H143" i="22"/>
  <c r="J144" i="8"/>
  <c r="J139" i="27"/>
  <c r="J144" i="3"/>
  <c r="J138" i="28"/>
  <c r="G133" i="45"/>
  <c r="I133" i="45" s="1"/>
  <c r="D134" i="45"/>
  <c r="E134" i="45"/>
  <c r="E145" i="3"/>
  <c r="F145" i="3" s="1"/>
  <c r="B149" i="10"/>
  <c r="H146" i="11"/>
  <c r="G146" i="11"/>
  <c r="I146" i="11" s="1"/>
  <c r="D147" i="11"/>
  <c r="G140" i="27"/>
  <c r="I140" i="27" s="1"/>
  <c r="D141" i="27"/>
  <c r="B141" i="27" s="1"/>
  <c r="H133" i="43"/>
  <c r="D134" i="43"/>
  <c r="G133" i="43"/>
  <c r="I133" i="43" s="1"/>
  <c r="E134" i="43"/>
  <c r="H138" i="29"/>
  <c r="G138" i="29"/>
  <c r="I138" i="29" s="1"/>
  <c r="D139" i="29"/>
  <c r="E139" i="29" s="1"/>
  <c r="F139" i="29" s="1"/>
  <c r="G135" i="39"/>
  <c r="I135" i="39" s="1"/>
  <c r="D136" i="39"/>
  <c r="E136" i="39"/>
  <c r="E145" i="8"/>
  <c r="F145" i="8" s="1"/>
  <c r="H145" i="8" s="1"/>
  <c r="B145" i="8"/>
  <c r="D135" i="38"/>
  <c r="G134" i="38"/>
  <c r="I134" i="38" s="1"/>
  <c r="E135" i="38"/>
  <c r="H140" i="24"/>
  <c r="G140" i="24"/>
  <c r="I140" i="24" s="1"/>
  <c r="D141" i="24"/>
  <c r="B141" i="24" s="1"/>
  <c r="E139" i="28"/>
  <c r="F139" i="28" s="1"/>
  <c r="H139" i="28" s="1"/>
  <c r="H134" i="40"/>
  <c r="D135" i="40"/>
  <c r="G134" i="40"/>
  <c r="I134" i="40" s="1"/>
  <c r="E135" i="40"/>
  <c r="D138" i="30"/>
  <c r="B138" i="30" s="1"/>
  <c r="G137" i="30"/>
  <c r="I137" i="30" s="1"/>
  <c r="J137" i="30" s="1"/>
  <c r="D139" i="31"/>
  <c r="E139" i="31" s="1"/>
  <c r="F139" i="31" s="1"/>
  <c r="G138" i="31"/>
  <c r="I138" i="31" s="1"/>
  <c r="J138" i="31" s="1"/>
  <c r="B140" i="27"/>
  <c r="H140" i="27"/>
  <c r="G147" i="9"/>
  <c r="I147" i="9" s="1"/>
  <c r="D148" i="9"/>
  <c r="H132" i="46"/>
  <c r="G132" i="46"/>
  <c r="I132" i="46" s="1"/>
  <c r="D133" i="46"/>
  <c r="E133" i="46"/>
  <c r="H133" i="44"/>
  <c r="G133" i="44"/>
  <c r="I133" i="44" s="1"/>
  <c r="D134" i="44"/>
  <c r="E134" i="44"/>
  <c r="D136" i="37"/>
  <c r="G135" i="37"/>
  <c r="I135" i="37" s="1"/>
  <c r="E136" i="37"/>
  <c r="D134" i="42"/>
  <c r="G133" i="42"/>
  <c r="I133" i="42" s="1"/>
  <c r="E134" i="42"/>
  <c r="H142" i="25"/>
  <c r="D143" i="25"/>
  <c r="E143" i="25" s="1"/>
  <c r="F143" i="25" s="1"/>
  <c r="G142" i="25"/>
  <c r="I142" i="25" s="1"/>
  <c r="B147" i="9"/>
  <c r="H147" i="9"/>
  <c r="H134" i="41"/>
  <c r="G134" i="41"/>
  <c r="I134" i="41" s="1"/>
  <c r="D135" i="41"/>
  <c r="E135" i="41"/>
  <c r="J146" i="6"/>
  <c r="H133" i="45"/>
  <c r="E142" i="23"/>
  <c r="F142" i="23" s="1"/>
  <c r="H134" i="38"/>
  <c r="E149" i="10"/>
  <c r="F149" i="10" s="1"/>
  <c r="H149" i="10" s="1"/>
  <c r="B146" i="5" l="1"/>
  <c r="E147" i="6"/>
  <c r="F147" i="6" s="1"/>
  <c r="G147" i="6" s="1"/>
  <c r="I147" i="6" s="1"/>
  <c r="J148" i="7"/>
  <c r="B149" i="7"/>
  <c r="E149" i="7"/>
  <c r="F149" i="7" s="1"/>
  <c r="E141" i="24"/>
  <c r="F141" i="24" s="1"/>
  <c r="G141" i="24" s="1"/>
  <c r="I141" i="24" s="1"/>
  <c r="G146" i="5"/>
  <c r="I146" i="5" s="1"/>
  <c r="H146" i="5"/>
  <c r="D147" i="5"/>
  <c r="B147" i="5" s="1"/>
  <c r="E144" i="22"/>
  <c r="F144" i="22" s="1"/>
  <c r="H144" i="22" s="1"/>
  <c r="B144" i="22"/>
  <c r="D146" i="4"/>
  <c r="G145" i="4"/>
  <c r="I145" i="4" s="1"/>
  <c r="H145" i="4"/>
  <c r="E141" i="27"/>
  <c r="F141" i="27" s="1"/>
  <c r="G141" i="27" s="1"/>
  <c r="I141" i="27" s="1"/>
  <c r="E138" i="30"/>
  <c r="F138" i="30" s="1"/>
  <c r="G138" i="30" s="1"/>
  <c r="I138" i="30" s="1"/>
  <c r="G139" i="29"/>
  <c r="I139" i="29" s="1"/>
  <c r="D140" i="29"/>
  <c r="E140" i="29" s="1"/>
  <c r="F140" i="29" s="1"/>
  <c r="B143" i="25"/>
  <c r="H143" i="25"/>
  <c r="B136" i="39"/>
  <c r="F136" i="39"/>
  <c r="F135" i="41"/>
  <c r="B135" i="41"/>
  <c r="B133" i="46"/>
  <c r="F133" i="46"/>
  <c r="D146" i="8"/>
  <c r="G145" i="8"/>
  <c r="I145" i="8" s="1"/>
  <c r="J145" i="8" s="1"/>
  <c r="F134" i="43"/>
  <c r="B134" i="43"/>
  <c r="B134" i="44"/>
  <c r="F134" i="44"/>
  <c r="H134" i="44" s="1"/>
  <c r="G149" i="10"/>
  <c r="I149" i="10" s="1"/>
  <c r="J149" i="10" s="1"/>
  <c r="D150" i="10"/>
  <c r="E150" i="10" s="1"/>
  <c r="F150" i="10" s="1"/>
  <c r="B139" i="31"/>
  <c r="H139" i="31"/>
  <c r="B139" i="29"/>
  <c r="H139" i="29"/>
  <c r="B135" i="40"/>
  <c r="F135" i="40"/>
  <c r="F134" i="42"/>
  <c r="H134" i="42" s="1"/>
  <c r="B134" i="42"/>
  <c r="J138" i="29"/>
  <c r="H145" i="3"/>
  <c r="D146" i="3"/>
  <c r="G145" i="3"/>
  <c r="I145" i="3" s="1"/>
  <c r="H142" i="23"/>
  <c r="G142" i="23"/>
  <c r="I142" i="23" s="1"/>
  <c r="D143" i="23"/>
  <c r="B143" i="23" s="1"/>
  <c r="E148" i="9"/>
  <c r="F148" i="9" s="1"/>
  <c r="H148" i="9" s="1"/>
  <c r="B148" i="9"/>
  <c r="G139" i="28"/>
  <c r="I139" i="28" s="1"/>
  <c r="J139" i="28" s="1"/>
  <c r="D140" i="28"/>
  <c r="E147" i="5"/>
  <c r="F147" i="5" s="1"/>
  <c r="J140" i="27"/>
  <c r="B134" i="45"/>
  <c r="F134" i="45"/>
  <c r="D140" i="31"/>
  <c r="G139" i="31"/>
  <c r="I139" i="31" s="1"/>
  <c r="G143" i="25"/>
  <c r="I143" i="25" s="1"/>
  <c r="D144" i="25"/>
  <c r="B136" i="37"/>
  <c r="F136" i="37"/>
  <c r="F135" i="38"/>
  <c r="B135" i="38"/>
  <c r="E147" i="11"/>
  <c r="F147" i="11" s="1"/>
  <c r="H147" i="11" s="1"/>
  <c r="B147" i="11"/>
  <c r="D148" i="6" l="1"/>
  <c r="H147" i="6"/>
  <c r="J147" i="6" s="1"/>
  <c r="D142" i="24"/>
  <c r="B142" i="24" s="1"/>
  <c r="H141" i="27"/>
  <c r="H141" i="24"/>
  <c r="G149" i="7"/>
  <c r="I149" i="7" s="1"/>
  <c r="H149" i="7"/>
  <c r="D150" i="7"/>
  <c r="J146" i="5"/>
  <c r="J145" i="4"/>
  <c r="D139" i="30"/>
  <c r="G144" i="22"/>
  <c r="I144" i="22" s="1"/>
  <c r="D145" i="22"/>
  <c r="E145" i="22" s="1"/>
  <c r="F145" i="22" s="1"/>
  <c r="B146" i="4"/>
  <c r="H138" i="30"/>
  <c r="J138" i="30" s="1"/>
  <c r="D142" i="27"/>
  <c r="B142" i="27" s="1"/>
  <c r="J139" i="29"/>
  <c r="E146" i="4"/>
  <c r="F146" i="4" s="1"/>
  <c r="H146" i="4" s="1"/>
  <c r="E143" i="23"/>
  <c r="F143" i="23" s="1"/>
  <c r="G143" i="23" s="1"/>
  <c r="I143" i="23" s="1"/>
  <c r="J141" i="27"/>
  <c r="J145" i="3"/>
  <c r="E142" i="24"/>
  <c r="F142" i="24" s="1"/>
  <c r="D143" i="24" s="1"/>
  <c r="B143" i="24" s="1"/>
  <c r="H136" i="39"/>
  <c r="D137" i="39"/>
  <c r="E137" i="39" s="1"/>
  <c r="F137" i="39" s="1"/>
  <c r="G136" i="39"/>
  <c r="I136" i="39" s="1"/>
  <c r="D149" i="9"/>
  <c r="B149" i="9" s="1"/>
  <c r="G148" i="9"/>
  <c r="I148" i="9" s="1"/>
  <c r="D135" i="42"/>
  <c r="G134" i="42"/>
  <c r="I134" i="42" s="1"/>
  <c r="E135" i="42"/>
  <c r="G150" i="10"/>
  <c r="I150" i="10" s="1"/>
  <c r="D151" i="10"/>
  <c r="B151" i="10" s="1"/>
  <c r="G134" i="44"/>
  <c r="I134" i="44" s="1"/>
  <c r="D135" i="44"/>
  <c r="E135" i="44"/>
  <c r="H133" i="46"/>
  <c r="G133" i="46"/>
  <c r="I133" i="46" s="1"/>
  <c r="D134" i="46"/>
  <c r="E134" i="46"/>
  <c r="H136" i="37"/>
  <c r="G136" i="37"/>
  <c r="I136" i="37" s="1"/>
  <c r="D137" i="37"/>
  <c r="H135" i="40"/>
  <c r="G135" i="40"/>
  <c r="I135" i="40" s="1"/>
  <c r="D136" i="40"/>
  <c r="E136" i="40"/>
  <c r="B150" i="10"/>
  <c r="H150" i="10"/>
  <c r="H135" i="38"/>
  <c r="G135" i="38"/>
  <c r="I135" i="38" s="1"/>
  <c r="D136" i="38"/>
  <c r="E136" i="38"/>
  <c r="H147" i="5"/>
  <c r="G147" i="5"/>
  <c r="I147" i="5" s="1"/>
  <c r="D148" i="5"/>
  <c r="E148" i="5" s="1"/>
  <c r="F148" i="5" s="1"/>
  <c r="E140" i="28"/>
  <c r="F140" i="28" s="1"/>
  <c r="H140" i="28" s="1"/>
  <c r="B140" i="28"/>
  <c r="E146" i="3"/>
  <c r="F146" i="3" s="1"/>
  <c r="B146" i="3"/>
  <c r="H134" i="43"/>
  <c r="G134" i="43"/>
  <c r="I134" i="43" s="1"/>
  <c r="D135" i="43"/>
  <c r="E135" i="43"/>
  <c r="G140" i="29"/>
  <c r="I140" i="29" s="1"/>
  <c r="D141" i="29"/>
  <c r="B141" i="29" s="1"/>
  <c r="H135" i="41"/>
  <c r="G135" i="41"/>
  <c r="I135" i="41" s="1"/>
  <c r="D136" i="41"/>
  <c r="E136" i="41"/>
  <c r="B140" i="29"/>
  <c r="H140" i="29"/>
  <c r="E140" i="31"/>
  <c r="F140" i="31" s="1"/>
  <c r="H140" i="31" s="1"/>
  <c r="B140" i="31"/>
  <c r="H134" i="45"/>
  <c r="G134" i="45"/>
  <c r="I134" i="45" s="1"/>
  <c r="D135" i="45"/>
  <c r="E135" i="45"/>
  <c r="E144" i="25"/>
  <c r="F144" i="25" s="1"/>
  <c r="B144" i="25"/>
  <c r="D148" i="11"/>
  <c r="B148" i="11" s="1"/>
  <c r="G147" i="11"/>
  <c r="I147" i="11" s="1"/>
  <c r="J139" i="31"/>
  <c r="E146" i="8"/>
  <c r="F146" i="8" s="1"/>
  <c r="H146" i="8" s="1"/>
  <c r="B146" i="8"/>
  <c r="E148" i="6" l="1"/>
  <c r="F148" i="6" s="1"/>
  <c r="B148" i="6"/>
  <c r="D144" i="23"/>
  <c r="B144" i="23" s="1"/>
  <c r="H143" i="23"/>
  <c r="E150" i="7"/>
  <c r="F150" i="7" s="1"/>
  <c r="H150" i="7" s="1"/>
  <c r="B150" i="7"/>
  <c r="J149" i="7"/>
  <c r="D146" i="22"/>
  <c r="E146" i="22" s="1"/>
  <c r="G145" i="22"/>
  <c r="I145" i="22" s="1"/>
  <c r="G142" i="24"/>
  <c r="I142" i="24" s="1"/>
  <c r="E142" i="27"/>
  <c r="F142" i="27" s="1"/>
  <c r="D143" i="27" s="1"/>
  <c r="H142" i="24"/>
  <c r="B145" i="22"/>
  <c r="H145" i="22"/>
  <c r="G146" i="4"/>
  <c r="I146" i="4" s="1"/>
  <c r="J146" i="4" s="1"/>
  <c r="D147" i="4"/>
  <c r="E147" i="4" s="1"/>
  <c r="F147" i="4" s="1"/>
  <c r="B139" i="30"/>
  <c r="E139" i="30"/>
  <c r="F139" i="30" s="1"/>
  <c r="J150" i="10"/>
  <c r="J140" i="29"/>
  <c r="J147" i="5"/>
  <c r="G148" i="5"/>
  <c r="I148" i="5" s="1"/>
  <c r="D149" i="5"/>
  <c r="E149" i="5" s="1"/>
  <c r="F149" i="5" s="1"/>
  <c r="D145" i="25"/>
  <c r="G144" i="25"/>
  <c r="I144" i="25" s="1"/>
  <c r="F136" i="41"/>
  <c r="H136" i="41" s="1"/>
  <c r="B136" i="41"/>
  <c r="B135" i="43"/>
  <c r="F135" i="43"/>
  <c r="H146" i="3"/>
  <c r="G146" i="3"/>
  <c r="I146" i="3" s="1"/>
  <c r="D147" i="3"/>
  <c r="E147" i="3" s="1"/>
  <c r="F147" i="3" s="1"/>
  <c r="E151" i="10"/>
  <c r="F151" i="10" s="1"/>
  <c r="B135" i="45"/>
  <c r="F135" i="45"/>
  <c r="H135" i="45" s="1"/>
  <c r="B134" i="46"/>
  <c r="F134" i="46"/>
  <c r="E148" i="11"/>
  <c r="F148" i="11" s="1"/>
  <c r="E141" i="29"/>
  <c r="F141" i="29" s="1"/>
  <c r="E143" i="24"/>
  <c r="F143" i="24" s="1"/>
  <c r="G140" i="28"/>
  <c r="I140" i="28" s="1"/>
  <c r="J140" i="28" s="1"/>
  <c r="D141" i="28"/>
  <c r="B136" i="38"/>
  <c r="F136" i="38"/>
  <c r="B137" i="39"/>
  <c r="H137" i="39"/>
  <c r="F136" i="40"/>
  <c r="B136" i="40"/>
  <c r="D138" i="39"/>
  <c r="E138" i="39" s="1"/>
  <c r="F138" i="39" s="1"/>
  <c r="G137" i="39"/>
  <c r="I137" i="39" s="1"/>
  <c r="B148" i="5"/>
  <c r="H148" i="5"/>
  <c r="B135" i="42"/>
  <c r="F135" i="42"/>
  <c r="H142" i="27"/>
  <c r="G142" i="27"/>
  <c r="I142" i="27" s="1"/>
  <c r="E144" i="23"/>
  <c r="F144" i="23" s="1"/>
  <c r="E137" i="37"/>
  <c r="F137" i="37" s="1"/>
  <c r="B137" i="37"/>
  <c r="B135" i="44"/>
  <c r="F135" i="44"/>
  <c r="H135" i="44" s="1"/>
  <c r="E149" i="9"/>
  <c r="F149" i="9" s="1"/>
  <c r="D147" i="8"/>
  <c r="G146" i="8"/>
  <c r="I146" i="8" s="1"/>
  <c r="J146" i="8" s="1"/>
  <c r="H144" i="25"/>
  <c r="D141" i="31"/>
  <c r="E141" i="31" s="1"/>
  <c r="F141" i="31" s="1"/>
  <c r="G140" i="31"/>
  <c r="I140" i="31" s="1"/>
  <c r="J140" i="31" s="1"/>
  <c r="D149" i="6" l="1"/>
  <c r="H148" i="6"/>
  <c r="G148" i="6"/>
  <c r="I148" i="6" s="1"/>
  <c r="F146" i="22"/>
  <c r="D147" i="22" s="1"/>
  <c r="D151" i="7"/>
  <c r="B151" i="7" s="1"/>
  <c r="G150" i="7"/>
  <c r="I150" i="7" s="1"/>
  <c r="J150" i="7" s="1"/>
  <c r="J148" i="5"/>
  <c r="D148" i="4"/>
  <c r="E148" i="4" s="1"/>
  <c r="F148" i="4" s="1"/>
  <c r="G147" i="4"/>
  <c r="I147" i="4" s="1"/>
  <c r="B147" i="4"/>
  <c r="H147" i="4"/>
  <c r="G139" i="30"/>
  <c r="I139" i="30" s="1"/>
  <c r="D140" i="30"/>
  <c r="E140" i="30" s="1"/>
  <c r="F140" i="30" s="1"/>
  <c r="H139" i="30"/>
  <c r="B146" i="22"/>
  <c r="J146" i="3"/>
  <c r="D138" i="37"/>
  <c r="B138" i="37" s="1"/>
  <c r="G137" i="37"/>
  <c r="I137" i="37" s="1"/>
  <c r="H137" i="37"/>
  <c r="H149" i="9"/>
  <c r="G149" i="9"/>
  <c r="I149" i="9" s="1"/>
  <c r="D150" i="9"/>
  <c r="B150" i="9" s="1"/>
  <c r="G141" i="31"/>
  <c r="I141" i="31" s="1"/>
  <c r="D142" i="31"/>
  <c r="B142" i="31" s="1"/>
  <c r="E147" i="8"/>
  <c r="F147" i="8" s="1"/>
  <c r="H147" i="8" s="1"/>
  <c r="B147" i="8"/>
  <c r="E143" i="27"/>
  <c r="F143" i="27" s="1"/>
  <c r="B143" i="27"/>
  <c r="H143" i="24"/>
  <c r="G143" i="24"/>
  <c r="I143" i="24" s="1"/>
  <c r="D144" i="24"/>
  <c r="E144" i="24" s="1"/>
  <c r="F144" i="24" s="1"/>
  <c r="H151" i="10"/>
  <c r="G151" i="10"/>
  <c r="I151" i="10" s="1"/>
  <c r="D152" i="10"/>
  <c r="H141" i="29"/>
  <c r="D142" i="29"/>
  <c r="E142" i="29" s="1"/>
  <c r="F142" i="29" s="1"/>
  <c r="G141" i="29"/>
  <c r="I141" i="29" s="1"/>
  <c r="G136" i="41"/>
  <c r="I136" i="41" s="1"/>
  <c r="D137" i="41"/>
  <c r="B137" i="41" s="1"/>
  <c r="G135" i="44"/>
  <c r="I135" i="44" s="1"/>
  <c r="D136" i="44"/>
  <c r="E136" i="44"/>
  <c r="H134" i="46"/>
  <c r="G134" i="46"/>
  <c r="I134" i="46" s="1"/>
  <c r="D135" i="46"/>
  <c r="E135" i="46"/>
  <c r="B147" i="3"/>
  <c r="H147" i="3"/>
  <c r="G147" i="3"/>
  <c r="I147" i="3" s="1"/>
  <c r="D148" i="3"/>
  <c r="B138" i="39"/>
  <c r="H138" i="39"/>
  <c r="H136" i="38"/>
  <c r="G136" i="38"/>
  <c r="I136" i="38" s="1"/>
  <c r="D137" i="38"/>
  <c r="E137" i="38"/>
  <c r="E145" i="25"/>
  <c r="F145" i="25" s="1"/>
  <c r="H145" i="25" s="1"/>
  <c r="B145" i="25"/>
  <c r="H144" i="23"/>
  <c r="D145" i="23"/>
  <c r="G144" i="23"/>
  <c r="I144" i="23" s="1"/>
  <c r="H136" i="40"/>
  <c r="D137" i="40"/>
  <c r="G136" i="40"/>
  <c r="I136" i="40" s="1"/>
  <c r="H148" i="11"/>
  <c r="G148" i="11"/>
  <c r="I148" i="11" s="1"/>
  <c r="D149" i="11"/>
  <c r="B149" i="11" s="1"/>
  <c r="G149" i="5"/>
  <c r="I149" i="5" s="1"/>
  <c r="D150" i="5"/>
  <c r="E150" i="5" s="1"/>
  <c r="F150" i="5" s="1"/>
  <c r="G138" i="39"/>
  <c r="I138" i="39" s="1"/>
  <c r="D139" i="39"/>
  <c r="H135" i="42"/>
  <c r="G135" i="42"/>
  <c r="I135" i="42" s="1"/>
  <c r="D136" i="42"/>
  <c r="E136" i="42"/>
  <c r="E141" i="28"/>
  <c r="F141" i="28" s="1"/>
  <c r="H141" i="28" s="1"/>
  <c r="B141" i="28"/>
  <c r="G135" i="45"/>
  <c r="I135" i="45" s="1"/>
  <c r="D136" i="45"/>
  <c r="E136" i="45"/>
  <c r="H135" i="43"/>
  <c r="G135" i="43"/>
  <c r="I135" i="43" s="1"/>
  <c r="D136" i="43"/>
  <c r="E136" i="43"/>
  <c r="B149" i="5"/>
  <c r="H149" i="5"/>
  <c r="B141" i="31"/>
  <c r="H141" i="31"/>
  <c r="J142" i="27"/>
  <c r="G146" i="22" l="1"/>
  <c r="I146" i="22" s="1"/>
  <c r="J148" i="6"/>
  <c r="H146" i="22"/>
  <c r="E149" i="6"/>
  <c r="F149" i="6" s="1"/>
  <c r="H149" i="6" s="1"/>
  <c r="B149" i="6"/>
  <c r="E151" i="7"/>
  <c r="F151" i="7" s="1"/>
  <c r="H151" i="7" s="1"/>
  <c r="D141" i="30"/>
  <c r="B141" i="30" s="1"/>
  <c r="G140" i="30"/>
  <c r="I140" i="30" s="1"/>
  <c r="J139" i="30"/>
  <c r="E142" i="31"/>
  <c r="F142" i="31" s="1"/>
  <c r="H142" i="31" s="1"/>
  <c r="J151" i="10"/>
  <c r="E147" i="22"/>
  <c r="F147" i="22" s="1"/>
  <c r="H147" i="22" s="1"/>
  <c r="B147" i="22"/>
  <c r="G148" i="4"/>
  <c r="I148" i="4" s="1"/>
  <c r="D149" i="4"/>
  <c r="J147" i="4"/>
  <c r="E137" i="41"/>
  <c r="F137" i="41" s="1"/>
  <c r="G137" i="41" s="1"/>
  <c r="I137" i="41" s="1"/>
  <c r="E138" i="37"/>
  <c r="F138" i="37" s="1"/>
  <c r="H138" i="37" s="1"/>
  <c r="B140" i="30"/>
  <c r="H140" i="30"/>
  <c r="B148" i="4"/>
  <c r="H148" i="4"/>
  <c r="J141" i="29"/>
  <c r="E149" i="11"/>
  <c r="F149" i="11" s="1"/>
  <c r="H149" i="11" s="1"/>
  <c r="E150" i="9"/>
  <c r="F150" i="9" s="1"/>
  <c r="D151" i="9" s="1"/>
  <c r="E151" i="9" s="1"/>
  <c r="F151" i="9" s="1"/>
  <c r="B136" i="42"/>
  <c r="F136" i="42"/>
  <c r="H136" i="42" s="1"/>
  <c r="G143" i="27"/>
  <c r="I143" i="27" s="1"/>
  <c r="D144" i="27"/>
  <c r="E144" i="27" s="1"/>
  <c r="F144" i="27" s="1"/>
  <c r="D151" i="5"/>
  <c r="E151" i="5" s="1"/>
  <c r="F151" i="5" s="1"/>
  <c r="G150" i="5"/>
  <c r="I150" i="5" s="1"/>
  <c r="B136" i="45"/>
  <c r="F136" i="45"/>
  <c r="B150" i="5"/>
  <c r="H150" i="5"/>
  <c r="F135" i="46"/>
  <c r="B135" i="46"/>
  <c r="G144" i="24"/>
  <c r="I144" i="24" s="1"/>
  <c r="D145" i="24"/>
  <c r="B145" i="24" s="1"/>
  <c r="J147" i="3"/>
  <c r="J149" i="5"/>
  <c r="D146" i="25"/>
  <c r="E146" i="25" s="1"/>
  <c r="F146" i="25" s="1"/>
  <c r="G145" i="25"/>
  <c r="I145" i="25" s="1"/>
  <c r="D143" i="29"/>
  <c r="B143" i="29" s="1"/>
  <c r="G142" i="29"/>
  <c r="I142" i="29" s="1"/>
  <c r="B144" i="24"/>
  <c r="H144" i="24"/>
  <c r="G147" i="8"/>
  <c r="I147" i="8" s="1"/>
  <c r="J147" i="8" s="1"/>
  <c r="D148" i="8"/>
  <c r="B148" i="8" s="1"/>
  <c r="E137" i="40"/>
  <c r="F137" i="40" s="1"/>
  <c r="H137" i="40" s="1"/>
  <c r="B137" i="40"/>
  <c r="B139" i="39"/>
  <c r="E152" i="10"/>
  <c r="F152" i="10" s="1"/>
  <c r="H152" i="10" s="1"/>
  <c r="B152" i="10"/>
  <c r="B137" i="38"/>
  <c r="F137" i="38"/>
  <c r="B142" i="29"/>
  <c r="H142" i="29"/>
  <c r="E145" i="23"/>
  <c r="F145" i="23" s="1"/>
  <c r="H145" i="23" s="1"/>
  <c r="B145" i="23"/>
  <c r="F136" i="43"/>
  <c r="H136" i="43" s="1"/>
  <c r="B136" i="43"/>
  <c r="D142" i="28"/>
  <c r="B142" i="28" s="1"/>
  <c r="G141" i="28"/>
  <c r="I141" i="28" s="1"/>
  <c r="J141" i="28" s="1"/>
  <c r="E139" i="39"/>
  <c r="F139" i="39" s="1"/>
  <c r="H139" i="39" s="1"/>
  <c r="E148" i="3"/>
  <c r="F148" i="3" s="1"/>
  <c r="H148" i="3" s="1"/>
  <c r="B148" i="3"/>
  <c r="B136" i="44"/>
  <c r="F136" i="44"/>
  <c r="H143" i="27"/>
  <c r="J141" i="31"/>
  <c r="D150" i="6" l="1"/>
  <c r="E150" i="6" s="1"/>
  <c r="F150" i="6" s="1"/>
  <c r="G149" i="6"/>
  <c r="I149" i="6" s="1"/>
  <c r="J149" i="6" s="1"/>
  <c r="D139" i="37"/>
  <c r="B139" i="37" s="1"/>
  <c r="G138" i="37"/>
  <c r="I138" i="37" s="1"/>
  <c r="G151" i="7"/>
  <c r="I151" i="7" s="1"/>
  <c r="J151" i="7" s="1"/>
  <c r="D152" i="7"/>
  <c r="E152" i="7" s="1"/>
  <c r="F152" i="7" s="1"/>
  <c r="E141" i="30"/>
  <c r="F141" i="30" s="1"/>
  <c r="H141" i="30" s="1"/>
  <c r="D143" i="31"/>
  <c r="E143" i="31" s="1"/>
  <c r="F143" i="31" s="1"/>
  <c r="G143" i="31" s="1"/>
  <c r="I143" i="31" s="1"/>
  <c r="D138" i="41"/>
  <c r="E138" i="41" s="1"/>
  <c r="F138" i="41" s="1"/>
  <c r="G138" i="41" s="1"/>
  <c r="I138" i="41" s="1"/>
  <c r="G142" i="31"/>
  <c r="I142" i="31" s="1"/>
  <c r="J142" i="31" s="1"/>
  <c r="H137" i="41"/>
  <c r="J140" i="30"/>
  <c r="G150" i="9"/>
  <c r="I150" i="9" s="1"/>
  <c r="H150" i="9"/>
  <c r="B149" i="4"/>
  <c r="J148" i="4"/>
  <c r="D150" i="11"/>
  <c r="B150" i="11" s="1"/>
  <c r="G149" i="11"/>
  <c r="I149" i="11" s="1"/>
  <c r="E149" i="4"/>
  <c r="F149" i="4" s="1"/>
  <c r="J150" i="5"/>
  <c r="G147" i="22"/>
  <c r="I147" i="22" s="1"/>
  <c r="D148" i="22"/>
  <c r="E145" i="24"/>
  <c r="F145" i="24" s="1"/>
  <c r="H145" i="24" s="1"/>
  <c r="D152" i="9"/>
  <c r="B152" i="9" s="1"/>
  <c r="G151" i="9"/>
  <c r="I151" i="9" s="1"/>
  <c r="H136" i="44"/>
  <c r="D137" i="44"/>
  <c r="G136" i="44"/>
  <c r="I136" i="44" s="1"/>
  <c r="E137" i="44"/>
  <c r="E148" i="8"/>
  <c r="F148" i="8" s="1"/>
  <c r="B151" i="9"/>
  <c r="H151" i="9"/>
  <c r="J143" i="27"/>
  <c r="D147" i="25"/>
  <c r="G146" i="25"/>
  <c r="I146" i="25" s="1"/>
  <c r="D152" i="5"/>
  <c r="B152" i="5" s="1"/>
  <c r="G151" i="5"/>
  <c r="I151" i="5" s="1"/>
  <c r="G136" i="43"/>
  <c r="I136" i="43" s="1"/>
  <c r="D137" i="43"/>
  <c r="G152" i="10"/>
  <c r="I152" i="10" s="1"/>
  <c r="J152" i="10" s="1"/>
  <c r="D153" i="10"/>
  <c r="D138" i="40"/>
  <c r="B138" i="40" s="1"/>
  <c r="G137" i="40"/>
  <c r="I137" i="40" s="1"/>
  <c r="H135" i="46"/>
  <c r="D136" i="46"/>
  <c r="G135" i="46"/>
  <c r="I135" i="46" s="1"/>
  <c r="E136" i="46"/>
  <c r="D146" i="23"/>
  <c r="G145" i="23"/>
  <c r="I145" i="23" s="1"/>
  <c r="G148" i="3"/>
  <c r="I148" i="3" s="1"/>
  <c r="J148" i="3" s="1"/>
  <c r="D149" i="3"/>
  <c r="B149" i="3" s="1"/>
  <c r="H137" i="38"/>
  <c r="D138" i="38"/>
  <c r="G137" i="38"/>
  <c r="I137" i="38" s="1"/>
  <c r="B146" i="25"/>
  <c r="H146" i="25"/>
  <c r="B151" i="5"/>
  <c r="H151" i="5"/>
  <c r="D140" i="39"/>
  <c r="G139" i="39"/>
  <c r="I139" i="39" s="1"/>
  <c r="E143" i="29"/>
  <c r="F143" i="29" s="1"/>
  <c r="G144" i="27"/>
  <c r="I144" i="27" s="1"/>
  <c r="D145" i="27"/>
  <c r="B145" i="27" s="1"/>
  <c r="E142" i="28"/>
  <c r="F142" i="28" s="1"/>
  <c r="E139" i="37"/>
  <c r="F139" i="37" s="1"/>
  <c r="J142" i="29"/>
  <c r="H136" i="45"/>
  <c r="G136" i="45"/>
  <c r="I136" i="45" s="1"/>
  <c r="D137" i="45"/>
  <c r="E137" i="45" s="1"/>
  <c r="F137" i="45" s="1"/>
  <c r="B144" i="27"/>
  <c r="H144" i="27"/>
  <c r="G136" i="42"/>
  <c r="I136" i="42" s="1"/>
  <c r="D137" i="42"/>
  <c r="B137" i="42" s="1"/>
  <c r="G150" i="6" l="1"/>
  <c r="I150" i="6" s="1"/>
  <c r="D151" i="6"/>
  <c r="B150" i="6"/>
  <c r="H150" i="6"/>
  <c r="D144" i="31"/>
  <c r="B144" i="31" s="1"/>
  <c r="B152" i="7"/>
  <c r="D142" i="30"/>
  <c r="G141" i="30"/>
  <c r="I141" i="30" s="1"/>
  <c r="J141" i="30" s="1"/>
  <c r="H143" i="31"/>
  <c r="J143" i="31" s="1"/>
  <c r="B143" i="31"/>
  <c r="H138" i="41"/>
  <c r="D139" i="41"/>
  <c r="E139" i="41" s="1"/>
  <c r="F139" i="41" s="1"/>
  <c r="G139" i="41" s="1"/>
  <c r="I139" i="41" s="1"/>
  <c r="B138" i="41"/>
  <c r="D146" i="24"/>
  <c r="E146" i="24" s="1"/>
  <c r="F146" i="24" s="1"/>
  <c r="H146" i="24" s="1"/>
  <c r="G145" i="24"/>
  <c r="I145" i="24" s="1"/>
  <c r="G152" i="7"/>
  <c r="I152" i="7" s="1"/>
  <c r="D153" i="7"/>
  <c r="E153" i="7" s="1"/>
  <c r="F153" i="7" s="1"/>
  <c r="H152" i="7"/>
  <c r="E150" i="11"/>
  <c r="F150" i="11" s="1"/>
  <c r="G150" i="11" s="1"/>
  <c r="I150" i="11" s="1"/>
  <c r="D150" i="4"/>
  <c r="B150" i="4" s="1"/>
  <c r="G149" i="4"/>
  <c r="I149" i="4" s="1"/>
  <c r="B148" i="22"/>
  <c r="E148" i="22"/>
  <c r="F148" i="22" s="1"/>
  <c r="H149" i="4"/>
  <c r="E152" i="9"/>
  <c r="F152" i="9" s="1"/>
  <c r="H152" i="9" s="1"/>
  <c r="E149" i="3"/>
  <c r="F149" i="3" s="1"/>
  <c r="H149" i="3" s="1"/>
  <c r="E137" i="42"/>
  <c r="F137" i="42" s="1"/>
  <c r="B140" i="39"/>
  <c r="J151" i="5"/>
  <c r="F137" i="44"/>
  <c r="B137" i="44"/>
  <c r="B146" i="23"/>
  <c r="H139" i="37"/>
  <c r="D140" i="37"/>
  <c r="G139" i="37"/>
  <c r="I139" i="37" s="1"/>
  <c r="E145" i="27"/>
  <c r="F145" i="27" s="1"/>
  <c r="E153" i="10"/>
  <c r="F153" i="10" s="1"/>
  <c r="B153" i="10"/>
  <c r="E147" i="25"/>
  <c r="F147" i="25" s="1"/>
  <c r="H147" i="25" s="1"/>
  <c r="B147" i="25"/>
  <c r="B136" i="46"/>
  <c r="F136" i="46"/>
  <c r="H142" i="28"/>
  <c r="D143" i="28"/>
  <c r="E143" i="28" s="1"/>
  <c r="F143" i="28" s="1"/>
  <c r="G142" i="28"/>
  <c r="I142" i="28" s="1"/>
  <c r="G137" i="45"/>
  <c r="I137" i="45" s="1"/>
  <c r="D138" i="45"/>
  <c r="H143" i="29"/>
  <c r="G143" i="29"/>
  <c r="I143" i="29" s="1"/>
  <c r="D144" i="29"/>
  <c r="E137" i="43"/>
  <c r="F137" i="43" s="1"/>
  <c r="H137" i="43" s="1"/>
  <c r="B137" i="43"/>
  <c r="H148" i="8"/>
  <c r="G148" i="8"/>
  <c r="I148" i="8" s="1"/>
  <c r="D149" i="8"/>
  <c r="B149" i="8" s="1"/>
  <c r="B137" i="45"/>
  <c r="H137" i="45"/>
  <c r="E140" i="39"/>
  <c r="F140" i="39" s="1"/>
  <c r="E138" i="40"/>
  <c r="F138" i="40" s="1"/>
  <c r="J144" i="27"/>
  <c r="E138" i="38"/>
  <c r="F138" i="38" s="1"/>
  <c r="H138" i="38" s="1"/>
  <c r="B138" i="38"/>
  <c r="E146" i="23"/>
  <c r="F146" i="23" s="1"/>
  <c r="E152" i="5"/>
  <c r="F152" i="5" s="1"/>
  <c r="E151" i="6" l="1"/>
  <c r="F151" i="6" s="1"/>
  <c r="H151" i="6" s="1"/>
  <c r="B151" i="6"/>
  <c r="E144" i="31"/>
  <c r="F144" i="31" s="1"/>
  <c r="D145" i="31" s="1"/>
  <c r="E145" i="31" s="1"/>
  <c r="F145" i="31" s="1"/>
  <c r="D146" i="31" s="1"/>
  <c r="E146" i="31" s="1"/>
  <c r="F146" i="31" s="1"/>
  <c r="J150" i="6"/>
  <c r="H139" i="41"/>
  <c r="D140" i="41"/>
  <c r="B140" i="41" s="1"/>
  <c r="B139" i="41"/>
  <c r="E142" i="30"/>
  <c r="F142" i="30" s="1"/>
  <c r="B142" i="30"/>
  <c r="B146" i="24"/>
  <c r="G144" i="31"/>
  <c r="I144" i="31" s="1"/>
  <c r="D153" i="9"/>
  <c r="B153" i="9" s="1"/>
  <c r="H150" i="11"/>
  <c r="G152" i="9"/>
  <c r="I152" i="9" s="1"/>
  <c r="D151" i="11"/>
  <c r="E151" i="11" s="1"/>
  <c r="F151" i="11" s="1"/>
  <c r="H151" i="11" s="1"/>
  <c r="D154" i="7"/>
  <c r="B154" i="7" s="1"/>
  <c r="G153" i="7"/>
  <c r="I153" i="7" s="1"/>
  <c r="B153" i="7"/>
  <c r="H153" i="7"/>
  <c r="J152" i="7"/>
  <c r="E149" i="8"/>
  <c r="F149" i="8" s="1"/>
  <c r="D150" i="8" s="1"/>
  <c r="E140" i="41"/>
  <c r="F140" i="41" s="1"/>
  <c r="G140" i="41" s="1"/>
  <c r="I140" i="41" s="1"/>
  <c r="G149" i="3"/>
  <c r="I149" i="3" s="1"/>
  <c r="J149" i="3" s="1"/>
  <c r="J143" i="29"/>
  <c r="J149" i="4"/>
  <c r="D150" i="3"/>
  <c r="B150" i="3" s="1"/>
  <c r="D149" i="22"/>
  <c r="E149" i="22" s="1"/>
  <c r="F149" i="22" s="1"/>
  <c r="G148" i="22"/>
  <c r="I148" i="22" s="1"/>
  <c r="H148" i="22"/>
  <c r="E150" i="4"/>
  <c r="F150" i="4" s="1"/>
  <c r="J148" i="8"/>
  <c r="J142" i="28"/>
  <c r="H138" i="40"/>
  <c r="D139" i="40"/>
  <c r="E139" i="40" s="1"/>
  <c r="F139" i="40" s="1"/>
  <c r="G138" i="40"/>
  <c r="I138" i="40" s="1"/>
  <c r="H137" i="42"/>
  <c r="D138" i="42"/>
  <c r="B138" i="42" s="1"/>
  <c r="G137" i="42"/>
  <c r="I137" i="42" s="1"/>
  <c r="G153" i="10"/>
  <c r="I153" i="10" s="1"/>
  <c r="D154" i="10"/>
  <c r="E154" i="10" s="1"/>
  <c r="E155" i="10" s="1"/>
  <c r="G146" i="23"/>
  <c r="I146" i="23" s="1"/>
  <c r="D147" i="23"/>
  <c r="B147" i="23" s="1"/>
  <c r="E138" i="45"/>
  <c r="F138" i="45" s="1"/>
  <c r="B138" i="45"/>
  <c r="H146" i="23"/>
  <c r="D138" i="43"/>
  <c r="G137" i="43"/>
  <c r="I137" i="43" s="1"/>
  <c r="H152" i="5"/>
  <c r="D153" i="5"/>
  <c r="G152" i="5"/>
  <c r="I152" i="5" s="1"/>
  <c r="D144" i="28"/>
  <c r="G143" i="28"/>
  <c r="I143" i="28" s="1"/>
  <c r="B145" i="31"/>
  <c r="D148" i="25"/>
  <c r="B148" i="25" s="1"/>
  <c r="G147" i="25"/>
  <c r="I147" i="25" s="1"/>
  <c r="H145" i="27"/>
  <c r="D146" i="27"/>
  <c r="E146" i="27" s="1"/>
  <c r="F146" i="27" s="1"/>
  <c r="G145" i="27"/>
  <c r="I145" i="27" s="1"/>
  <c r="H137" i="44"/>
  <c r="D138" i="44"/>
  <c r="B138" i="44" s="1"/>
  <c r="G137" i="44"/>
  <c r="I137" i="44" s="1"/>
  <c r="B140" i="37"/>
  <c r="D141" i="39"/>
  <c r="B141" i="39" s="1"/>
  <c r="G140" i="39"/>
  <c r="I140" i="39" s="1"/>
  <c r="G138" i="38"/>
  <c r="I138" i="38" s="1"/>
  <c r="D139" i="38"/>
  <c r="B139" i="38" s="1"/>
  <c r="B143" i="28"/>
  <c r="H143" i="28"/>
  <c r="H153" i="10"/>
  <c r="E140" i="37"/>
  <c r="F140" i="37" s="1"/>
  <c r="G146" i="24"/>
  <c r="I146" i="24" s="1"/>
  <c r="D147" i="24"/>
  <c r="B147" i="24" s="1"/>
  <c r="E144" i="29"/>
  <c r="F144" i="29" s="1"/>
  <c r="H144" i="29" s="1"/>
  <c r="B144" i="29"/>
  <c r="H136" i="46"/>
  <c r="D137" i="46"/>
  <c r="G136" i="46"/>
  <c r="I136" i="46" s="1"/>
  <c r="E137" i="46"/>
  <c r="H140" i="39"/>
  <c r="G145" i="31" l="1"/>
  <c r="I145" i="31" s="1"/>
  <c r="H145" i="31"/>
  <c r="H144" i="31"/>
  <c r="J144" i="31" s="1"/>
  <c r="G151" i="6"/>
  <c r="I151" i="6" s="1"/>
  <c r="J151" i="6" s="1"/>
  <c r="D152" i="6"/>
  <c r="B152" i="6" s="1"/>
  <c r="G149" i="8"/>
  <c r="I149" i="8" s="1"/>
  <c r="H149" i="8"/>
  <c r="E153" i="9"/>
  <c r="F153" i="9" s="1"/>
  <c r="H142" i="30"/>
  <c r="D143" i="30"/>
  <c r="G142" i="30"/>
  <c r="I142" i="30" s="1"/>
  <c r="G151" i="11"/>
  <c r="I151" i="11" s="1"/>
  <c r="E154" i="7"/>
  <c r="E155" i="7" s="1"/>
  <c r="D152" i="11"/>
  <c r="B152" i="11" s="1"/>
  <c r="D141" i="41"/>
  <c r="E141" i="41" s="1"/>
  <c r="F141" i="41" s="1"/>
  <c r="G141" i="41" s="1"/>
  <c r="I141" i="41" s="1"/>
  <c r="H140" i="41"/>
  <c r="B151" i="11"/>
  <c r="J153" i="7"/>
  <c r="E150" i="3"/>
  <c r="F150" i="3" s="1"/>
  <c r="H150" i="3" s="1"/>
  <c r="E147" i="24"/>
  <c r="F147" i="24" s="1"/>
  <c r="D148" i="24" s="1"/>
  <c r="B148" i="24" s="1"/>
  <c r="J152" i="5"/>
  <c r="H150" i="4"/>
  <c r="D151" i="4"/>
  <c r="E151" i="4" s="1"/>
  <c r="F151" i="4" s="1"/>
  <c r="G150" i="4"/>
  <c r="I150" i="4" s="1"/>
  <c r="G149" i="22"/>
  <c r="I149" i="22" s="1"/>
  <c r="D150" i="22"/>
  <c r="E138" i="44"/>
  <c r="F138" i="44" s="1"/>
  <c r="G138" i="44" s="1"/>
  <c r="I138" i="44" s="1"/>
  <c r="E148" i="25"/>
  <c r="F148" i="25" s="1"/>
  <c r="D149" i="25" s="1"/>
  <c r="B149" i="22"/>
  <c r="H149" i="22"/>
  <c r="E141" i="39"/>
  <c r="F141" i="39" s="1"/>
  <c r="H141" i="39" s="1"/>
  <c r="E147" i="23"/>
  <c r="F147" i="23" s="1"/>
  <c r="H147" i="23" s="1"/>
  <c r="E139" i="38"/>
  <c r="F139" i="38" s="1"/>
  <c r="H139" i="38" s="1"/>
  <c r="B138" i="43"/>
  <c r="E138" i="42"/>
  <c r="F138" i="42" s="1"/>
  <c r="E150" i="8"/>
  <c r="F150" i="8" s="1"/>
  <c r="H150" i="8" s="1"/>
  <c r="B150" i="8"/>
  <c r="G138" i="45"/>
  <c r="I138" i="45" s="1"/>
  <c r="D139" i="45"/>
  <c r="D145" i="29"/>
  <c r="E145" i="29" s="1"/>
  <c r="F145" i="29" s="1"/>
  <c r="G144" i="29"/>
  <c r="I144" i="29" s="1"/>
  <c r="J144" i="29" s="1"/>
  <c r="B139" i="40"/>
  <c r="H139" i="40"/>
  <c r="D147" i="27"/>
  <c r="E147" i="27" s="1"/>
  <c r="F147" i="27" s="1"/>
  <c r="G146" i="27"/>
  <c r="I146" i="27" s="1"/>
  <c r="G139" i="40"/>
  <c r="I139" i="40" s="1"/>
  <c r="D140" i="40"/>
  <c r="J145" i="27"/>
  <c r="J143" i="28"/>
  <c r="E153" i="5"/>
  <c r="F153" i="5" s="1"/>
  <c r="H153" i="5" s="1"/>
  <c r="B153" i="5"/>
  <c r="G146" i="31"/>
  <c r="I146" i="31" s="1"/>
  <c r="D147" i="31"/>
  <c r="B137" i="46"/>
  <c r="F137" i="46"/>
  <c r="B146" i="27"/>
  <c r="H146" i="27"/>
  <c r="E144" i="28"/>
  <c r="F144" i="28" s="1"/>
  <c r="B144" i="28"/>
  <c r="B154" i="10"/>
  <c r="F154" i="10"/>
  <c r="G154" i="10" s="1"/>
  <c r="J145" i="31"/>
  <c r="D141" i="37"/>
  <c r="E141" i="37" s="1"/>
  <c r="F141" i="37" s="1"/>
  <c r="G140" i="37"/>
  <c r="I140" i="37" s="1"/>
  <c r="H140" i="37"/>
  <c r="E138" i="43"/>
  <c r="F138" i="43" s="1"/>
  <c r="H138" i="43" s="1"/>
  <c r="H138" i="45"/>
  <c r="J153" i="10"/>
  <c r="B146" i="31"/>
  <c r="H146" i="31"/>
  <c r="J149" i="8" l="1"/>
  <c r="E152" i="6"/>
  <c r="F152" i="6" s="1"/>
  <c r="H152" i="6" s="1"/>
  <c r="J142" i="30"/>
  <c r="D142" i="41"/>
  <c r="B142" i="41" s="1"/>
  <c r="G152" i="6"/>
  <c r="I152" i="6" s="1"/>
  <c r="D154" i="9"/>
  <c r="E154" i="9" s="1"/>
  <c r="E155" i="9" s="1"/>
  <c r="G153" i="9"/>
  <c r="I153" i="9" s="1"/>
  <c r="H153" i="9"/>
  <c r="E152" i="11"/>
  <c r="F152" i="11" s="1"/>
  <c r="G152" i="11" s="1"/>
  <c r="I152" i="11" s="1"/>
  <c r="F154" i="7"/>
  <c r="G154" i="7" s="1"/>
  <c r="I154" i="7" s="1"/>
  <c r="B143" i="30"/>
  <c r="E143" i="30"/>
  <c r="F143" i="30" s="1"/>
  <c r="H141" i="41"/>
  <c r="G147" i="24"/>
  <c r="I147" i="24" s="1"/>
  <c r="B141" i="41"/>
  <c r="D151" i="3"/>
  <c r="B151" i="3" s="1"/>
  <c r="H147" i="24"/>
  <c r="D140" i="38"/>
  <c r="B140" i="38" s="1"/>
  <c r="G139" i="38"/>
  <c r="I139" i="38" s="1"/>
  <c r="G150" i="3"/>
  <c r="I150" i="3" s="1"/>
  <c r="J150" i="3" s="1"/>
  <c r="G147" i="23"/>
  <c r="I147" i="23" s="1"/>
  <c r="D148" i="23"/>
  <c r="B148" i="23" s="1"/>
  <c r="D142" i="39"/>
  <c r="B142" i="39" s="1"/>
  <c r="H148" i="25"/>
  <c r="J150" i="4"/>
  <c r="G141" i="39"/>
  <c r="I141" i="39" s="1"/>
  <c r="G148" i="25"/>
  <c r="I148" i="25" s="1"/>
  <c r="G151" i="4"/>
  <c r="I151" i="4" s="1"/>
  <c r="D152" i="4"/>
  <c r="E152" i="4" s="1"/>
  <c r="F152" i="4" s="1"/>
  <c r="B151" i="4"/>
  <c r="H151" i="4"/>
  <c r="H138" i="44"/>
  <c r="E150" i="22"/>
  <c r="F150" i="22" s="1"/>
  <c r="B150" i="22"/>
  <c r="D139" i="44"/>
  <c r="B139" i="44" s="1"/>
  <c r="J146" i="31"/>
  <c r="E148" i="24"/>
  <c r="F148" i="24" s="1"/>
  <c r="D149" i="24" s="1"/>
  <c r="E149" i="24" s="1"/>
  <c r="F149" i="24" s="1"/>
  <c r="H154" i="10"/>
  <c r="H155" i="10" s="1"/>
  <c r="I154" i="10"/>
  <c r="E147" i="31"/>
  <c r="F147" i="31" s="1"/>
  <c r="H147" i="31" s="1"/>
  <c r="B147" i="31"/>
  <c r="G145" i="29"/>
  <c r="I145" i="29" s="1"/>
  <c r="D146" i="29"/>
  <c r="H137" i="46"/>
  <c r="D138" i="46"/>
  <c r="B138" i="46" s="1"/>
  <c r="G137" i="46"/>
  <c r="I137" i="46" s="1"/>
  <c r="G147" i="27"/>
  <c r="I147" i="27" s="1"/>
  <c r="D148" i="27"/>
  <c r="B148" i="27" s="1"/>
  <c r="B145" i="29"/>
  <c r="H145" i="29"/>
  <c r="D151" i="8"/>
  <c r="E151" i="8" s="1"/>
  <c r="F151" i="8" s="1"/>
  <c r="G150" i="8"/>
  <c r="I150" i="8" s="1"/>
  <c r="J150" i="8" s="1"/>
  <c r="J146" i="27"/>
  <c r="E139" i="45"/>
  <c r="F139" i="45" s="1"/>
  <c r="H139" i="45" s="1"/>
  <c r="B139" i="45"/>
  <c r="D145" i="28"/>
  <c r="B145" i="28" s="1"/>
  <c r="G144" i="28"/>
  <c r="I144" i="28" s="1"/>
  <c r="D154" i="5"/>
  <c r="G153" i="5"/>
  <c r="I153" i="5" s="1"/>
  <c r="J153" i="5" s="1"/>
  <c r="E140" i="40"/>
  <c r="F140" i="40" s="1"/>
  <c r="H140" i="40" s="1"/>
  <c r="B140" i="40"/>
  <c r="E149" i="25"/>
  <c r="F149" i="25" s="1"/>
  <c r="B149" i="25"/>
  <c r="H144" i="28"/>
  <c r="G141" i="37"/>
  <c r="I141" i="37" s="1"/>
  <c r="D142" i="37"/>
  <c r="B142" i="37" s="1"/>
  <c r="B147" i="27"/>
  <c r="H147" i="27"/>
  <c r="B141" i="37"/>
  <c r="H141" i="37"/>
  <c r="D139" i="43"/>
  <c r="G138" i="43"/>
  <c r="I138" i="43" s="1"/>
  <c r="H138" i="42"/>
  <c r="D139" i="42"/>
  <c r="B139" i="42" s="1"/>
  <c r="G138" i="42"/>
  <c r="I138" i="42" s="1"/>
  <c r="D153" i="6" l="1"/>
  <c r="F154" i="9"/>
  <c r="G154" i="9" s="1"/>
  <c r="B154" i="9"/>
  <c r="E142" i="41"/>
  <c r="F142" i="41" s="1"/>
  <c r="G142" i="41" s="1"/>
  <c r="I142" i="41" s="1"/>
  <c r="H154" i="7"/>
  <c r="H155" i="7" s="1"/>
  <c r="J152" i="6"/>
  <c r="E153" i="6"/>
  <c r="F153" i="6" s="1"/>
  <c r="H153" i="6" s="1"/>
  <c r="B153" i="6"/>
  <c r="E140" i="38"/>
  <c r="F140" i="38" s="1"/>
  <c r="D153" i="11"/>
  <c r="H152" i="11"/>
  <c r="H143" i="30"/>
  <c r="G143" i="30"/>
  <c r="I143" i="30" s="1"/>
  <c r="D144" i="30"/>
  <c r="E144" i="30" s="1"/>
  <c r="E151" i="3"/>
  <c r="F151" i="3" s="1"/>
  <c r="E148" i="23"/>
  <c r="F148" i="23" s="1"/>
  <c r="G148" i="23" s="1"/>
  <c r="I148" i="23" s="1"/>
  <c r="I155" i="7"/>
  <c r="E142" i="39"/>
  <c r="F142" i="39" s="1"/>
  <c r="H142" i="39" s="1"/>
  <c r="E139" i="44"/>
  <c r="F139" i="44" s="1"/>
  <c r="H139" i="44" s="1"/>
  <c r="H148" i="24"/>
  <c r="D153" i="4"/>
  <c r="E153" i="4" s="1"/>
  <c r="F153" i="4" s="1"/>
  <c r="G152" i="4"/>
  <c r="I152" i="4" s="1"/>
  <c r="D151" i="22"/>
  <c r="E151" i="22" s="1"/>
  <c r="F151" i="22" s="1"/>
  <c r="G150" i="22"/>
  <c r="I150" i="22" s="1"/>
  <c r="G148" i="24"/>
  <c r="I148" i="24" s="1"/>
  <c r="B152" i="4"/>
  <c r="H152" i="4"/>
  <c r="H150" i="22"/>
  <c r="J151" i="4"/>
  <c r="J147" i="27"/>
  <c r="E139" i="42"/>
  <c r="F139" i="42" s="1"/>
  <c r="H139" i="42" s="1"/>
  <c r="E142" i="37"/>
  <c r="F142" i="37" s="1"/>
  <c r="H142" i="37" s="1"/>
  <c r="E138" i="46"/>
  <c r="F138" i="46" s="1"/>
  <c r="D139" i="46" s="1"/>
  <c r="D152" i="8"/>
  <c r="B152" i="8" s="1"/>
  <c r="G151" i="8"/>
  <c r="I151" i="8" s="1"/>
  <c r="E139" i="43"/>
  <c r="F139" i="43" s="1"/>
  <c r="H139" i="43" s="1"/>
  <c r="B139" i="43"/>
  <c r="E145" i="28"/>
  <c r="F145" i="28" s="1"/>
  <c r="H149" i="25"/>
  <c r="D150" i="25"/>
  <c r="E150" i="25" s="1"/>
  <c r="F150" i="25" s="1"/>
  <c r="G149" i="25"/>
  <c r="I149" i="25" s="1"/>
  <c r="J144" i="28"/>
  <c r="D140" i="45"/>
  <c r="E140" i="45" s="1"/>
  <c r="F140" i="45" s="1"/>
  <c r="G139" i="45"/>
  <c r="I139" i="45" s="1"/>
  <c r="B154" i="5"/>
  <c r="H154" i="9"/>
  <c r="H155" i="9" s="1"/>
  <c r="I154" i="9"/>
  <c r="I155" i="9" s="1"/>
  <c r="B151" i="8"/>
  <c r="H151" i="8"/>
  <c r="D148" i="31"/>
  <c r="B148" i="31" s="1"/>
  <c r="G147" i="31"/>
  <c r="I147" i="31" s="1"/>
  <c r="J147" i="31" s="1"/>
  <c r="D141" i="40"/>
  <c r="G140" i="40"/>
  <c r="I140" i="40" s="1"/>
  <c r="E146" i="29"/>
  <c r="F146" i="29" s="1"/>
  <c r="H146" i="29" s="1"/>
  <c r="B146" i="29"/>
  <c r="J154" i="10"/>
  <c r="J155" i="10" s="1"/>
  <c r="I155" i="10"/>
  <c r="G149" i="24"/>
  <c r="I149" i="24" s="1"/>
  <c r="D150" i="24"/>
  <c r="E150" i="24" s="1"/>
  <c r="F150" i="24" s="1"/>
  <c r="B149" i="24"/>
  <c r="H149" i="24"/>
  <c r="E154" i="5"/>
  <c r="E155" i="5" s="1"/>
  <c r="E148" i="27"/>
  <c r="F148" i="27" s="1"/>
  <c r="J145" i="29"/>
  <c r="D143" i="41" l="1"/>
  <c r="E143" i="41" s="1"/>
  <c r="F143" i="41" s="1"/>
  <c r="G143" i="41" s="1"/>
  <c r="I143" i="41" s="1"/>
  <c r="G153" i="6"/>
  <c r="I153" i="6" s="1"/>
  <c r="D154" i="6"/>
  <c r="J143" i="30"/>
  <c r="H142" i="41"/>
  <c r="J154" i="7"/>
  <c r="J155" i="7" s="1"/>
  <c r="D141" i="38"/>
  <c r="E141" i="38" s="1"/>
  <c r="F141" i="38" s="1"/>
  <c r="G141" i="38" s="1"/>
  <c r="I141" i="38" s="1"/>
  <c r="H140" i="38"/>
  <c r="G140" i="38"/>
  <c r="I140" i="38" s="1"/>
  <c r="B153" i="11"/>
  <c r="E153" i="11"/>
  <c r="F153" i="11" s="1"/>
  <c r="D149" i="23"/>
  <c r="E149" i="23" s="1"/>
  <c r="F149" i="23" s="1"/>
  <c r="D150" i="23" s="1"/>
  <c r="H148" i="23"/>
  <c r="B143" i="41"/>
  <c r="F144" i="30"/>
  <c r="G144" i="30" s="1"/>
  <c r="I144" i="30" s="1"/>
  <c r="H143" i="41"/>
  <c r="B144" i="30"/>
  <c r="G139" i="42"/>
  <c r="I139" i="42" s="1"/>
  <c r="D140" i="42"/>
  <c r="B140" i="42" s="1"/>
  <c r="D144" i="41"/>
  <c r="B144" i="41" s="1"/>
  <c r="D140" i="44"/>
  <c r="B140" i="44" s="1"/>
  <c r="H151" i="3"/>
  <c r="D152" i="3"/>
  <c r="G151" i="3"/>
  <c r="I151" i="3" s="1"/>
  <c r="G142" i="37"/>
  <c r="I142" i="37" s="1"/>
  <c r="D143" i="37"/>
  <c r="B143" i="37" s="1"/>
  <c r="H138" i="46"/>
  <c r="G139" i="44"/>
  <c r="I139" i="44" s="1"/>
  <c r="G142" i="39"/>
  <c r="I142" i="39" s="1"/>
  <c r="D143" i="39"/>
  <c r="G138" i="46"/>
  <c r="I138" i="46" s="1"/>
  <c r="B139" i="46"/>
  <c r="E139" i="46"/>
  <c r="F139" i="46" s="1"/>
  <c r="G139" i="46" s="1"/>
  <c r="I139" i="46" s="1"/>
  <c r="D152" i="22"/>
  <c r="E152" i="22" s="1"/>
  <c r="F152" i="22" s="1"/>
  <c r="G151" i="22"/>
  <c r="I151" i="22" s="1"/>
  <c r="D154" i="4"/>
  <c r="E154" i="4" s="1"/>
  <c r="E155" i="4" s="1"/>
  <c r="G153" i="4"/>
  <c r="I153" i="4" s="1"/>
  <c r="J152" i="4"/>
  <c r="B153" i="4"/>
  <c r="H153" i="4"/>
  <c r="H151" i="22"/>
  <c r="B151" i="22"/>
  <c r="E148" i="31"/>
  <c r="F148" i="31" s="1"/>
  <c r="H148" i="31" s="1"/>
  <c r="J151" i="8"/>
  <c r="E152" i="8"/>
  <c r="F152" i="8" s="1"/>
  <c r="G150" i="24"/>
  <c r="I150" i="24" s="1"/>
  <c r="D151" i="24"/>
  <c r="B151" i="24" s="1"/>
  <c r="B150" i="24"/>
  <c r="H150" i="24"/>
  <c r="B140" i="45"/>
  <c r="H140" i="45"/>
  <c r="H145" i="28"/>
  <c r="D146" i="28"/>
  <c r="B146" i="28" s="1"/>
  <c r="G145" i="28"/>
  <c r="I145" i="28" s="1"/>
  <c r="H148" i="27"/>
  <c r="G148" i="27"/>
  <c r="I148" i="27" s="1"/>
  <c r="D149" i="27"/>
  <c r="B149" i="27" s="1"/>
  <c r="G146" i="29"/>
  <c r="I146" i="29" s="1"/>
  <c r="J146" i="29" s="1"/>
  <c r="D147" i="29"/>
  <c r="E147" i="29" s="1"/>
  <c r="F147" i="29" s="1"/>
  <c r="G150" i="25"/>
  <c r="I150" i="25" s="1"/>
  <c r="D151" i="25"/>
  <c r="B151" i="25" s="1"/>
  <c r="G140" i="45"/>
  <c r="I140" i="45" s="1"/>
  <c r="D141" i="45"/>
  <c r="B141" i="45" s="1"/>
  <c r="E141" i="40"/>
  <c r="F141" i="40" s="1"/>
  <c r="H141" i="40" s="1"/>
  <c r="B141" i="40"/>
  <c r="F154" i="5"/>
  <c r="B150" i="25"/>
  <c r="H150" i="25"/>
  <c r="D140" i="43"/>
  <c r="B140" i="43" s="1"/>
  <c r="G139" i="43"/>
  <c r="I139" i="43" s="1"/>
  <c r="D142" i="38" l="1"/>
  <c r="B141" i="38"/>
  <c r="H144" i="30"/>
  <c r="J144" i="30" s="1"/>
  <c r="H141" i="38"/>
  <c r="D145" i="30"/>
  <c r="B145" i="30" s="1"/>
  <c r="G149" i="23"/>
  <c r="I149" i="23" s="1"/>
  <c r="E154" i="6"/>
  <c r="E155" i="6" s="1"/>
  <c r="B154" i="6"/>
  <c r="J153" i="6"/>
  <c r="D154" i="11"/>
  <c r="G153" i="11"/>
  <c r="I153" i="11" s="1"/>
  <c r="H153" i="11"/>
  <c r="H149" i="23"/>
  <c r="B149" i="23"/>
  <c r="E144" i="41"/>
  <c r="F144" i="41" s="1"/>
  <c r="H144" i="41" s="1"/>
  <c r="E140" i="42"/>
  <c r="F140" i="42" s="1"/>
  <c r="D141" i="42" s="1"/>
  <c r="E141" i="42" s="1"/>
  <c r="F141" i="42" s="1"/>
  <c r="D142" i="42" s="1"/>
  <c r="E143" i="37"/>
  <c r="F143" i="37" s="1"/>
  <c r="H143" i="37" s="1"/>
  <c r="H139" i="46"/>
  <c r="J151" i="3"/>
  <c r="B152" i="3"/>
  <c r="E152" i="3"/>
  <c r="F152" i="3" s="1"/>
  <c r="H152" i="3" s="1"/>
  <c r="E140" i="44"/>
  <c r="F140" i="44" s="1"/>
  <c r="D141" i="44" s="1"/>
  <c r="B141" i="44" s="1"/>
  <c r="G148" i="31"/>
  <c r="I148" i="31" s="1"/>
  <c r="J148" i="31" s="1"/>
  <c r="D149" i="31"/>
  <c r="E149" i="31" s="1"/>
  <c r="F149" i="31" s="1"/>
  <c r="D150" i="31" s="1"/>
  <c r="D140" i="46"/>
  <c r="B140" i="46" s="1"/>
  <c r="B143" i="39"/>
  <c r="E143" i="39"/>
  <c r="F143" i="39" s="1"/>
  <c r="H143" i="39" s="1"/>
  <c r="J153" i="4"/>
  <c r="D153" i="22"/>
  <c r="E153" i="22" s="1"/>
  <c r="F153" i="22" s="1"/>
  <c r="G152" i="22"/>
  <c r="I152" i="22" s="1"/>
  <c r="B154" i="4"/>
  <c r="F154" i="4"/>
  <c r="B152" i="22"/>
  <c r="H152" i="22"/>
  <c r="J148" i="27"/>
  <c r="J145" i="28"/>
  <c r="E151" i="25"/>
  <c r="F151" i="25" s="1"/>
  <c r="D152" i="25" s="1"/>
  <c r="G154" i="5"/>
  <c r="I154" i="5" s="1"/>
  <c r="H154" i="5"/>
  <c r="H155" i="5" s="1"/>
  <c r="G141" i="40"/>
  <c r="I141" i="40" s="1"/>
  <c r="D142" i="40"/>
  <c r="E142" i="40" s="1"/>
  <c r="F142" i="40" s="1"/>
  <c r="E141" i="45"/>
  <c r="F141" i="45" s="1"/>
  <c r="E150" i="23"/>
  <c r="F150" i="23" s="1"/>
  <c r="H150" i="23" s="1"/>
  <c r="B150" i="23"/>
  <c r="E142" i="38"/>
  <c r="F142" i="38" s="1"/>
  <c r="H142" i="38" s="1"/>
  <c r="B142" i="38"/>
  <c r="E149" i="27"/>
  <c r="F149" i="27" s="1"/>
  <c r="E151" i="24"/>
  <c r="F151" i="24" s="1"/>
  <c r="D144" i="37"/>
  <c r="B144" i="37" s="1"/>
  <c r="G143" i="37"/>
  <c r="I143" i="37" s="1"/>
  <c r="B147" i="29"/>
  <c r="H147" i="29"/>
  <c r="G147" i="29"/>
  <c r="I147" i="29" s="1"/>
  <c r="D148" i="29"/>
  <c r="E148" i="29" s="1"/>
  <c r="F148" i="29" s="1"/>
  <c r="E140" i="43"/>
  <c r="F140" i="43" s="1"/>
  <c r="H152" i="8"/>
  <c r="G152" i="8"/>
  <c r="I152" i="8" s="1"/>
  <c r="D153" i="8"/>
  <c r="E153" i="8" s="1"/>
  <c r="F153" i="8" s="1"/>
  <c r="E146" i="28"/>
  <c r="F146" i="28" s="1"/>
  <c r="E145" i="30" l="1"/>
  <c r="F145" i="30" s="1"/>
  <c r="H145" i="30" s="1"/>
  <c r="B141" i="42"/>
  <c r="G144" i="41"/>
  <c r="I144" i="41" s="1"/>
  <c r="H141" i="42"/>
  <c r="D145" i="41"/>
  <c r="B145" i="41" s="1"/>
  <c r="G140" i="42"/>
  <c r="I140" i="42" s="1"/>
  <c r="H140" i="42"/>
  <c r="F154" i="6"/>
  <c r="G154" i="6" s="1"/>
  <c r="I154" i="6" s="1"/>
  <c r="I155" i="6" s="1"/>
  <c r="B154" i="11"/>
  <c r="E154" i="11"/>
  <c r="G141" i="42"/>
  <c r="I141" i="42" s="1"/>
  <c r="E141" i="44"/>
  <c r="F141" i="44" s="1"/>
  <c r="H141" i="44" s="1"/>
  <c r="E140" i="46"/>
  <c r="F140" i="46" s="1"/>
  <c r="H140" i="46" s="1"/>
  <c r="G149" i="31"/>
  <c r="I149" i="31" s="1"/>
  <c r="D146" i="30"/>
  <c r="E146" i="30" s="1"/>
  <c r="F146" i="30" s="1"/>
  <c r="H149" i="31"/>
  <c r="G140" i="44"/>
  <c r="I140" i="44" s="1"/>
  <c r="B149" i="31"/>
  <c r="G152" i="3"/>
  <c r="I152" i="3" s="1"/>
  <c r="J152" i="3" s="1"/>
  <c r="D153" i="3"/>
  <c r="E153" i="3" s="1"/>
  <c r="F153" i="3" s="1"/>
  <c r="H140" i="44"/>
  <c r="D144" i="39"/>
  <c r="B144" i="39" s="1"/>
  <c r="G143" i="39"/>
  <c r="I143" i="39" s="1"/>
  <c r="G154" i="4"/>
  <c r="I154" i="4" s="1"/>
  <c r="H154" i="4"/>
  <c r="H155" i="4" s="1"/>
  <c r="J147" i="29"/>
  <c r="J152" i="8"/>
  <c r="D154" i="22"/>
  <c r="E154" i="22" s="1"/>
  <c r="E155" i="22" s="1"/>
  <c r="G153" i="22"/>
  <c r="I153" i="22" s="1"/>
  <c r="B153" i="22"/>
  <c r="H153" i="22"/>
  <c r="G151" i="25"/>
  <c r="I151" i="25" s="1"/>
  <c r="H151" i="25"/>
  <c r="G142" i="40"/>
  <c r="I142" i="40" s="1"/>
  <c r="D143" i="40"/>
  <c r="H140" i="43"/>
  <c r="D141" i="43"/>
  <c r="B141" i="43" s="1"/>
  <c r="G140" i="43"/>
  <c r="I140" i="43" s="1"/>
  <c r="E152" i="25"/>
  <c r="F152" i="25" s="1"/>
  <c r="H152" i="25" s="1"/>
  <c r="B152" i="25"/>
  <c r="J154" i="5"/>
  <c r="J155" i="5" s="1"/>
  <c r="I155" i="5"/>
  <c r="B148" i="29"/>
  <c r="H148" i="29"/>
  <c r="D143" i="38"/>
  <c r="E143" i="38" s="1"/>
  <c r="F143" i="38" s="1"/>
  <c r="G142" i="38"/>
  <c r="I142" i="38" s="1"/>
  <c r="G153" i="8"/>
  <c r="I153" i="8" s="1"/>
  <c r="D154" i="8"/>
  <c r="E154" i="8" s="1"/>
  <c r="E155" i="8" s="1"/>
  <c r="H146" i="28"/>
  <c r="G146" i="28"/>
  <c r="I146" i="28" s="1"/>
  <c r="D147" i="28"/>
  <c r="B147" i="28" s="1"/>
  <c r="G150" i="23"/>
  <c r="I150" i="23" s="1"/>
  <c r="D151" i="23"/>
  <c r="B151" i="23" s="1"/>
  <c r="B142" i="40"/>
  <c r="H142" i="40"/>
  <c r="E150" i="31"/>
  <c r="F150" i="31" s="1"/>
  <c r="H150" i="31" s="1"/>
  <c r="B150" i="31"/>
  <c r="B142" i="42"/>
  <c r="G148" i="29"/>
  <c r="I148" i="29" s="1"/>
  <c r="D149" i="29"/>
  <c r="E149" i="29" s="1"/>
  <c r="F149" i="29" s="1"/>
  <c r="B153" i="8"/>
  <c r="H153" i="8"/>
  <c r="E142" i="42"/>
  <c r="F142" i="42" s="1"/>
  <c r="H142" i="42" s="1"/>
  <c r="H151" i="24"/>
  <c r="D152" i="24"/>
  <c r="E152" i="24" s="1"/>
  <c r="F152" i="24" s="1"/>
  <c r="G151" i="24"/>
  <c r="I151" i="24" s="1"/>
  <c r="H141" i="45"/>
  <c r="G141" i="45"/>
  <c r="I141" i="45" s="1"/>
  <c r="D142" i="45"/>
  <c r="E142" i="45" s="1"/>
  <c r="F142" i="45" s="1"/>
  <c r="E144" i="37"/>
  <c r="F144" i="37" s="1"/>
  <c r="H149" i="27"/>
  <c r="D150" i="27"/>
  <c r="B150" i="27" s="1"/>
  <c r="G149" i="27"/>
  <c r="I149" i="27" s="1"/>
  <c r="G145" i="30" l="1"/>
  <c r="I145" i="30" s="1"/>
  <c r="J145" i="30" s="1"/>
  <c r="G141" i="44"/>
  <c r="I141" i="44" s="1"/>
  <c r="E145" i="41"/>
  <c r="F145" i="41" s="1"/>
  <c r="H145" i="41" s="1"/>
  <c r="D142" i="44"/>
  <c r="E142" i="44" s="1"/>
  <c r="F142" i="44" s="1"/>
  <c r="H154" i="6"/>
  <c r="H155" i="6" s="1"/>
  <c r="G145" i="41"/>
  <c r="I145" i="41" s="1"/>
  <c r="D146" i="41"/>
  <c r="B146" i="41" s="1"/>
  <c r="J149" i="31"/>
  <c r="D141" i="46"/>
  <c r="E141" i="46" s="1"/>
  <c r="F141" i="46" s="1"/>
  <c r="H141" i="46" s="1"/>
  <c r="E155" i="11"/>
  <c r="F154" i="11"/>
  <c r="G154" i="11" s="1"/>
  <c r="G140" i="46"/>
  <c r="I140" i="46" s="1"/>
  <c r="G146" i="30"/>
  <c r="I146" i="30" s="1"/>
  <c r="D147" i="30"/>
  <c r="B146" i="30"/>
  <c r="H146" i="30"/>
  <c r="D154" i="3"/>
  <c r="G153" i="3"/>
  <c r="I153" i="3" s="1"/>
  <c r="E144" i="39"/>
  <c r="F144" i="39" s="1"/>
  <c r="H144" i="39" s="1"/>
  <c r="B153" i="3"/>
  <c r="H153" i="3"/>
  <c r="E150" i="27"/>
  <c r="F150" i="27" s="1"/>
  <c r="D151" i="27" s="1"/>
  <c r="B154" i="22"/>
  <c r="F154" i="22"/>
  <c r="G154" i="22" s="1"/>
  <c r="I155" i="4"/>
  <c r="J154" i="4"/>
  <c r="J155" i="4" s="1"/>
  <c r="E141" i="43"/>
  <c r="F141" i="43" s="1"/>
  <c r="G141" i="43" s="1"/>
  <c r="I141" i="43" s="1"/>
  <c r="J149" i="27"/>
  <c r="J148" i="29"/>
  <c r="D143" i="44"/>
  <c r="B143" i="44" s="1"/>
  <c r="G142" i="44"/>
  <c r="I142" i="44" s="1"/>
  <c r="D150" i="29"/>
  <c r="B150" i="29" s="1"/>
  <c r="G149" i="29"/>
  <c r="I149" i="29" s="1"/>
  <c r="E147" i="28"/>
  <c r="F147" i="28" s="1"/>
  <c r="B149" i="29"/>
  <c r="H149" i="29"/>
  <c r="E151" i="23"/>
  <c r="F151" i="23" s="1"/>
  <c r="J146" i="28"/>
  <c r="G143" i="38"/>
  <c r="I143" i="38" s="1"/>
  <c r="D144" i="38"/>
  <c r="B142" i="44"/>
  <c r="H142" i="44"/>
  <c r="B152" i="24"/>
  <c r="H152" i="24"/>
  <c r="B143" i="38"/>
  <c r="H143" i="38"/>
  <c r="D143" i="42"/>
  <c r="E143" i="42" s="1"/>
  <c r="F143" i="42" s="1"/>
  <c r="G142" i="42"/>
  <c r="I142" i="42" s="1"/>
  <c r="B154" i="8"/>
  <c r="F154" i="8"/>
  <c r="G154" i="8" s="1"/>
  <c r="H144" i="37"/>
  <c r="D145" i="37"/>
  <c r="G144" i="37"/>
  <c r="I144" i="37" s="1"/>
  <c r="G152" i="25"/>
  <c r="I152" i="25" s="1"/>
  <c r="D153" i="25"/>
  <c r="G142" i="45"/>
  <c r="I142" i="45" s="1"/>
  <c r="D143" i="45"/>
  <c r="E143" i="45" s="1"/>
  <c r="F143" i="45" s="1"/>
  <c r="J153" i="8"/>
  <c r="E143" i="40"/>
  <c r="F143" i="40" s="1"/>
  <c r="H143" i="40" s="1"/>
  <c r="B143" i="40"/>
  <c r="D153" i="24"/>
  <c r="G152" i="24"/>
  <c r="I152" i="24" s="1"/>
  <c r="B142" i="45"/>
  <c r="H142" i="45"/>
  <c r="G150" i="31"/>
  <c r="I150" i="31" s="1"/>
  <c r="J150" i="31" s="1"/>
  <c r="D151" i="31"/>
  <c r="E151" i="31" s="1"/>
  <c r="F151" i="31" s="1"/>
  <c r="B141" i="46" l="1"/>
  <c r="G141" i="46"/>
  <c r="I141" i="46" s="1"/>
  <c r="D142" i="46"/>
  <c r="B142" i="46" s="1"/>
  <c r="J154" i="6"/>
  <c r="J155" i="6" s="1"/>
  <c r="E146" i="41"/>
  <c r="F146" i="41" s="1"/>
  <c r="D147" i="41" s="1"/>
  <c r="E147" i="41" s="1"/>
  <c r="F147" i="41" s="1"/>
  <c r="H154" i="11"/>
  <c r="H155" i="11" s="1"/>
  <c r="I154" i="11"/>
  <c r="I155" i="11" s="1"/>
  <c r="D145" i="39"/>
  <c r="E145" i="39" s="1"/>
  <c r="F145" i="39" s="1"/>
  <c r="G144" i="39"/>
  <c r="I144" i="39" s="1"/>
  <c r="E147" i="30"/>
  <c r="F147" i="30" s="1"/>
  <c r="H147" i="30" s="1"/>
  <c r="B147" i="30"/>
  <c r="J146" i="30"/>
  <c r="J153" i="3"/>
  <c r="G150" i="27"/>
  <c r="I150" i="27" s="1"/>
  <c r="E154" i="3"/>
  <c r="E155" i="3" s="1"/>
  <c r="B154" i="3"/>
  <c r="H150" i="27"/>
  <c r="E143" i="44"/>
  <c r="F143" i="44" s="1"/>
  <c r="G143" i="44" s="1"/>
  <c r="I143" i="44" s="1"/>
  <c r="H141" i="43"/>
  <c r="D142" i="43"/>
  <c r="E142" i="43" s="1"/>
  <c r="F142" i="43" s="1"/>
  <c r="H142" i="43" s="1"/>
  <c r="E142" i="46"/>
  <c r="F142" i="46" s="1"/>
  <c r="G142" i="46" s="1"/>
  <c r="I142" i="46" s="1"/>
  <c r="E150" i="29"/>
  <c r="F150" i="29" s="1"/>
  <c r="H150" i="29" s="1"/>
  <c r="I154" i="22"/>
  <c r="I155" i="22" s="1"/>
  <c r="H154" i="22"/>
  <c r="H155" i="22" s="1"/>
  <c r="B153" i="24"/>
  <c r="E151" i="27"/>
  <c r="F151" i="27" s="1"/>
  <c r="H151" i="27" s="1"/>
  <c r="B151" i="27"/>
  <c r="B143" i="42"/>
  <c r="H143" i="42"/>
  <c r="E153" i="25"/>
  <c r="F153" i="25" s="1"/>
  <c r="H153" i="25" s="1"/>
  <c r="B153" i="25"/>
  <c r="E145" i="37"/>
  <c r="F145" i="37" s="1"/>
  <c r="B145" i="37"/>
  <c r="H151" i="23"/>
  <c r="G151" i="23"/>
  <c r="I151" i="23" s="1"/>
  <c r="D152" i="23"/>
  <c r="E152" i="23" s="1"/>
  <c r="F152" i="23" s="1"/>
  <c r="J149" i="29"/>
  <c r="G143" i="42"/>
  <c r="I143" i="42" s="1"/>
  <c r="D144" i="42"/>
  <c r="E144" i="38"/>
  <c r="F144" i="38" s="1"/>
  <c r="H144" i="38" s="1"/>
  <c r="B144" i="38"/>
  <c r="D152" i="31"/>
  <c r="G151" i="31"/>
  <c r="I151" i="31" s="1"/>
  <c r="G143" i="45"/>
  <c r="I143" i="45" s="1"/>
  <c r="D144" i="45"/>
  <c r="E144" i="45" s="1"/>
  <c r="F144" i="45" s="1"/>
  <c r="D144" i="40"/>
  <c r="B144" i="40" s="1"/>
  <c r="G143" i="40"/>
  <c r="I143" i="40" s="1"/>
  <c r="B151" i="31"/>
  <c r="H151" i="31"/>
  <c r="E153" i="24"/>
  <c r="F153" i="24" s="1"/>
  <c r="B143" i="45"/>
  <c r="H143" i="45"/>
  <c r="H154" i="8"/>
  <c r="H155" i="8" s="1"/>
  <c r="I154" i="8"/>
  <c r="H147" i="28"/>
  <c r="G147" i="28"/>
  <c r="I147" i="28" s="1"/>
  <c r="D148" i="28"/>
  <c r="B148" i="28" s="1"/>
  <c r="B145" i="39" l="1"/>
  <c r="G146" i="41"/>
  <c r="I146" i="41" s="1"/>
  <c r="H146" i="41"/>
  <c r="B147" i="41"/>
  <c r="F154" i="3"/>
  <c r="G154" i="3" s="1"/>
  <c r="I154" i="3" s="1"/>
  <c r="J150" i="27"/>
  <c r="D148" i="30"/>
  <c r="E148" i="30" s="1"/>
  <c r="F148" i="30" s="1"/>
  <c r="G147" i="30"/>
  <c r="I147" i="30" s="1"/>
  <c r="J147" i="30" s="1"/>
  <c r="H143" i="44"/>
  <c r="D144" i="44"/>
  <c r="E144" i="44" s="1"/>
  <c r="F144" i="44" s="1"/>
  <c r="H144" i="44" s="1"/>
  <c r="H142" i="46"/>
  <c r="B142" i="43"/>
  <c r="G145" i="39"/>
  <c r="I145" i="39" s="1"/>
  <c r="D146" i="39"/>
  <c r="B146" i="39" s="1"/>
  <c r="D143" i="46"/>
  <c r="E143" i="46" s="1"/>
  <c r="F143" i="46" s="1"/>
  <c r="H145" i="39"/>
  <c r="D151" i="29"/>
  <c r="E151" i="29" s="1"/>
  <c r="F151" i="29" s="1"/>
  <c r="H151" i="29" s="1"/>
  <c r="G150" i="29"/>
  <c r="I150" i="29" s="1"/>
  <c r="J150" i="29" s="1"/>
  <c r="E148" i="28"/>
  <c r="F148" i="28" s="1"/>
  <c r="H148" i="28" s="1"/>
  <c r="J151" i="31"/>
  <c r="J147" i="28"/>
  <c r="G152" i="23"/>
  <c r="I152" i="23" s="1"/>
  <c r="D153" i="23"/>
  <c r="E153" i="23" s="1"/>
  <c r="F153" i="23" s="1"/>
  <c r="G153" i="25"/>
  <c r="I153" i="25" s="1"/>
  <c r="D154" i="25"/>
  <c r="B152" i="23"/>
  <c r="H152" i="23"/>
  <c r="D148" i="41"/>
  <c r="G147" i="41"/>
  <c r="I147" i="41" s="1"/>
  <c r="G153" i="24"/>
  <c r="I153" i="24" s="1"/>
  <c r="D154" i="24"/>
  <c r="E154" i="24" s="1"/>
  <c r="E155" i="24" s="1"/>
  <c r="G142" i="43"/>
  <c r="I142" i="43" s="1"/>
  <c r="D143" i="43"/>
  <c r="E143" i="43" s="1"/>
  <c r="F143" i="43" s="1"/>
  <c r="G144" i="38"/>
  <c r="I144" i="38" s="1"/>
  <c r="D145" i="38"/>
  <c r="B152" i="31"/>
  <c r="H147" i="41"/>
  <c r="D152" i="27"/>
  <c r="E152" i="27" s="1"/>
  <c r="F152" i="27" s="1"/>
  <c r="G151" i="27"/>
  <c r="I151" i="27" s="1"/>
  <c r="J151" i="27" s="1"/>
  <c r="D145" i="45"/>
  <c r="B145" i="45" s="1"/>
  <c r="G144" i="45"/>
  <c r="I144" i="45" s="1"/>
  <c r="B144" i="45"/>
  <c r="H144" i="45"/>
  <c r="E144" i="40"/>
  <c r="F144" i="40" s="1"/>
  <c r="H153" i="24"/>
  <c r="J154" i="8"/>
  <c r="J155" i="8" s="1"/>
  <c r="I155" i="8"/>
  <c r="E152" i="31"/>
  <c r="F152" i="31" s="1"/>
  <c r="E144" i="42"/>
  <c r="F144" i="42" s="1"/>
  <c r="B144" i="42"/>
  <c r="H145" i="37"/>
  <c r="D146" i="37"/>
  <c r="G145" i="37"/>
  <c r="I145" i="37" s="1"/>
  <c r="H154" i="3" l="1"/>
  <c r="H155" i="3" s="1"/>
  <c r="B144" i="44"/>
  <c r="D149" i="30"/>
  <c r="G148" i="30"/>
  <c r="I148" i="30" s="1"/>
  <c r="B148" i="30"/>
  <c r="H148" i="30"/>
  <c r="I155" i="3"/>
  <c r="J154" i="3"/>
  <c r="J155" i="3" s="1"/>
  <c r="B143" i="46"/>
  <c r="E146" i="39"/>
  <c r="F146" i="39" s="1"/>
  <c r="G146" i="39" s="1"/>
  <c r="I146" i="39" s="1"/>
  <c r="B151" i="29"/>
  <c r="D149" i="28"/>
  <c r="B149" i="28" s="1"/>
  <c r="G148" i="28"/>
  <c r="I148" i="28" s="1"/>
  <c r="J148" i="28" s="1"/>
  <c r="G152" i="27"/>
  <c r="I152" i="27" s="1"/>
  <c r="D153" i="27"/>
  <c r="B153" i="27" s="1"/>
  <c r="D154" i="23"/>
  <c r="G153" i="23"/>
  <c r="I153" i="23" s="1"/>
  <c r="H144" i="42"/>
  <c r="G144" i="42"/>
  <c r="I144" i="42" s="1"/>
  <c r="D145" i="42"/>
  <c r="B145" i="42" s="1"/>
  <c r="G152" i="31"/>
  <c r="I152" i="31" s="1"/>
  <c r="D153" i="31"/>
  <c r="G144" i="44"/>
  <c r="I144" i="44" s="1"/>
  <c r="D145" i="44"/>
  <c r="E145" i="44" s="1"/>
  <c r="F145" i="44" s="1"/>
  <c r="H152" i="31"/>
  <c r="B154" i="24"/>
  <c r="F154" i="24"/>
  <c r="G154" i="24" s="1"/>
  <c r="G151" i="29"/>
  <c r="I151" i="29" s="1"/>
  <c r="J151" i="29" s="1"/>
  <c r="D152" i="29"/>
  <c r="B152" i="29" s="1"/>
  <c r="H143" i="46"/>
  <c r="G143" i="46"/>
  <c r="I143" i="46" s="1"/>
  <c r="D144" i="46"/>
  <c r="E144" i="46" s="1"/>
  <c r="F144" i="46" s="1"/>
  <c r="G143" i="43"/>
  <c r="I143" i="43" s="1"/>
  <c r="D144" i="43"/>
  <c r="B144" i="43" s="1"/>
  <c r="E145" i="45"/>
  <c r="F145" i="45" s="1"/>
  <c r="E145" i="38"/>
  <c r="F145" i="38" s="1"/>
  <c r="H145" i="38" s="1"/>
  <c r="B145" i="38"/>
  <c r="B153" i="23"/>
  <c r="H153" i="23"/>
  <c r="B143" i="43"/>
  <c r="H143" i="43"/>
  <c r="E146" i="37"/>
  <c r="F146" i="37" s="1"/>
  <c r="H146" i="37" s="1"/>
  <c r="B146" i="37"/>
  <c r="H144" i="40"/>
  <c r="G144" i="40"/>
  <c r="I144" i="40" s="1"/>
  <c r="D145" i="40"/>
  <c r="B145" i="40" s="1"/>
  <c r="B152" i="27"/>
  <c r="H152" i="27"/>
  <c r="E148" i="41"/>
  <c r="F148" i="41" s="1"/>
  <c r="H148" i="41" s="1"/>
  <c r="B148" i="41"/>
  <c r="E154" i="25"/>
  <c r="E155" i="25" s="1"/>
  <c r="B154" i="25"/>
  <c r="H146" i="39" l="1"/>
  <c r="B149" i="30"/>
  <c r="E149" i="30"/>
  <c r="F149" i="30" s="1"/>
  <c r="J148" i="30"/>
  <c r="D147" i="39"/>
  <c r="B147" i="39" s="1"/>
  <c r="E149" i="28"/>
  <c r="F149" i="28" s="1"/>
  <c r="D150" i="28" s="1"/>
  <c r="E150" i="28" s="1"/>
  <c r="F150" i="28" s="1"/>
  <c r="D151" i="28" s="1"/>
  <c r="E151" i="28" s="1"/>
  <c r="F151" i="28" s="1"/>
  <c r="F154" i="25"/>
  <c r="G154" i="25" s="1"/>
  <c r="I154" i="25" s="1"/>
  <c r="I155" i="25" s="1"/>
  <c r="E152" i="29"/>
  <c r="F152" i="29" s="1"/>
  <c r="H152" i="29" s="1"/>
  <c r="E153" i="27"/>
  <c r="F153" i="27" s="1"/>
  <c r="D154" i="27" s="1"/>
  <c r="E145" i="40"/>
  <c r="F145" i="40" s="1"/>
  <c r="H145" i="40" s="1"/>
  <c r="J152" i="31"/>
  <c r="D145" i="46"/>
  <c r="E145" i="46" s="1"/>
  <c r="F145" i="46" s="1"/>
  <c r="G144" i="46"/>
  <c r="I144" i="46" s="1"/>
  <c r="E154" i="23"/>
  <c r="E155" i="23" s="1"/>
  <c r="B154" i="23"/>
  <c r="B144" i="46"/>
  <c r="H144" i="46"/>
  <c r="I154" i="24"/>
  <c r="I155" i="24" s="1"/>
  <c r="H154" i="24"/>
  <c r="H155" i="24" s="1"/>
  <c r="E153" i="31"/>
  <c r="F153" i="31" s="1"/>
  <c r="H153" i="31" s="1"/>
  <c r="B153" i="31"/>
  <c r="G145" i="44"/>
  <c r="I145" i="44" s="1"/>
  <c r="D146" i="44"/>
  <c r="G148" i="41"/>
  <c r="I148" i="41" s="1"/>
  <c r="D149" i="41"/>
  <c r="G145" i="38"/>
  <c r="I145" i="38" s="1"/>
  <c r="D146" i="38"/>
  <c r="B146" i="38" s="1"/>
  <c r="B145" i="44"/>
  <c r="H145" i="44"/>
  <c r="G146" i="37"/>
  <c r="I146" i="37" s="1"/>
  <c r="D147" i="37"/>
  <c r="E147" i="37" s="1"/>
  <c r="F147" i="37" s="1"/>
  <c r="H145" i="45"/>
  <c r="D146" i="45"/>
  <c r="G145" i="45"/>
  <c r="I145" i="45" s="1"/>
  <c r="E144" i="43"/>
  <c r="F144" i="43" s="1"/>
  <c r="E145" i="42"/>
  <c r="F145" i="42" s="1"/>
  <c r="J152" i="27"/>
  <c r="H149" i="28" l="1"/>
  <c r="D150" i="30"/>
  <c r="G149" i="30"/>
  <c r="I149" i="30" s="1"/>
  <c r="H149" i="30"/>
  <c r="H150" i="28"/>
  <c r="G149" i="28"/>
  <c r="I149" i="28" s="1"/>
  <c r="E147" i="39"/>
  <c r="F147" i="39" s="1"/>
  <c r="G147" i="39" s="1"/>
  <c r="I147" i="39" s="1"/>
  <c r="G150" i="28"/>
  <c r="I150" i="28" s="1"/>
  <c r="G152" i="29"/>
  <c r="I152" i="29" s="1"/>
  <c r="J152" i="29" s="1"/>
  <c r="B150" i="28"/>
  <c r="H154" i="25"/>
  <c r="H155" i="25" s="1"/>
  <c r="D153" i="29"/>
  <c r="B153" i="29" s="1"/>
  <c r="G153" i="27"/>
  <c r="I153" i="27" s="1"/>
  <c r="G145" i="40"/>
  <c r="I145" i="40" s="1"/>
  <c r="D146" i="40"/>
  <c r="B146" i="40" s="1"/>
  <c r="F154" i="23"/>
  <c r="G154" i="23" s="1"/>
  <c r="H154" i="23" s="1"/>
  <c r="H155" i="23" s="1"/>
  <c r="G147" i="37"/>
  <c r="I147" i="37" s="1"/>
  <c r="D148" i="37"/>
  <c r="B148" i="37" s="1"/>
  <c r="E149" i="41"/>
  <c r="F149" i="41" s="1"/>
  <c r="B149" i="41"/>
  <c r="E146" i="44"/>
  <c r="F146" i="44" s="1"/>
  <c r="H146" i="44" s="1"/>
  <c r="B146" i="44"/>
  <c r="B147" i="37"/>
  <c r="H147" i="37"/>
  <c r="B154" i="27"/>
  <c r="H145" i="42"/>
  <c r="G145" i="42"/>
  <c r="I145" i="42" s="1"/>
  <c r="D146" i="42"/>
  <c r="B146" i="42" s="1"/>
  <c r="D146" i="46"/>
  <c r="B146" i="46" s="1"/>
  <c r="G145" i="46"/>
  <c r="I145" i="46" s="1"/>
  <c r="H144" i="43"/>
  <c r="D145" i="43"/>
  <c r="G144" i="43"/>
  <c r="I144" i="43" s="1"/>
  <c r="B151" i="28"/>
  <c r="H151" i="28"/>
  <c r="B145" i="46"/>
  <c r="H145" i="46"/>
  <c r="E146" i="38"/>
  <c r="F146" i="38" s="1"/>
  <c r="E154" i="27"/>
  <c r="E155" i="27" s="1"/>
  <c r="D152" i="28"/>
  <c r="E152" i="28" s="1"/>
  <c r="F152" i="28" s="1"/>
  <c r="G151" i="28"/>
  <c r="I151" i="28" s="1"/>
  <c r="D154" i="31"/>
  <c r="G153" i="31"/>
  <c r="I153" i="31" s="1"/>
  <c r="J153" i="31" s="1"/>
  <c r="E146" i="45"/>
  <c r="F146" i="45" s="1"/>
  <c r="H146" i="45" s="1"/>
  <c r="B146" i="45"/>
  <c r="J149" i="28" l="1"/>
  <c r="J150" i="28"/>
  <c r="J149" i="30"/>
  <c r="D148" i="39"/>
  <c r="E148" i="39" s="1"/>
  <c r="F148" i="39" s="1"/>
  <c r="E150" i="30"/>
  <c r="F150" i="30" s="1"/>
  <c r="H150" i="30" s="1"/>
  <c r="B150" i="30"/>
  <c r="E146" i="40"/>
  <c r="F146" i="40" s="1"/>
  <c r="G146" i="40" s="1"/>
  <c r="I146" i="40" s="1"/>
  <c r="H147" i="39"/>
  <c r="E146" i="46"/>
  <c r="F146" i="46" s="1"/>
  <c r="H146" i="46" s="1"/>
  <c r="H153" i="27"/>
  <c r="J153" i="27" s="1"/>
  <c r="E153" i="29"/>
  <c r="F153" i="29" s="1"/>
  <c r="I154" i="23"/>
  <c r="I155" i="23" s="1"/>
  <c r="E148" i="37"/>
  <c r="F148" i="37" s="1"/>
  <c r="H148" i="37" s="1"/>
  <c r="J151" i="28"/>
  <c r="E146" i="42"/>
  <c r="F146" i="42" s="1"/>
  <c r="G146" i="42" s="1"/>
  <c r="I146" i="42" s="1"/>
  <c r="D147" i="45"/>
  <c r="G146" i="45"/>
  <c r="I146" i="45" s="1"/>
  <c r="F154" i="27"/>
  <c r="G154" i="27" s="1"/>
  <c r="G146" i="44"/>
  <c r="I146" i="44" s="1"/>
  <c r="D147" i="44"/>
  <c r="B147" i="44" s="1"/>
  <c r="B145" i="43"/>
  <c r="E154" i="31"/>
  <c r="E155" i="31" s="1"/>
  <c r="B154" i="31"/>
  <c r="H146" i="38"/>
  <c r="D147" i="38"/>
  <c r="B147" i="38" s="1"/>
  <c r="G146" i="38"/>
  <c r="I146" i="38" s="1"/>
  <c r="H149" i="41"/>
  <c r="D150" i="41"/>
  <c r="E150" i="41" s="1"/>
  <c r="F150" i="41" s="1"/>
  <c r="G149" i="41"/>
  <c r="I149" i="41" s="1"/>
  <c r="D153" i="28"/>
  <c r="B153" i="28" s="1"/>
  <c r="G152" i="28"/>
  <c r="I152" i="28" s="1"/>
  <c r="B152" i="28"/>
  <c r="H152" i="28"/>
  <c r="E145" i="43"/>
  <c r="F145" i="43" s="1"/>
  <c r="H145" i="43" s="1"/>
  <c r="B148" i="39" l="1"/>
  <c r="D147" i="40"/>
  <c r="E147" i="40" s="1"/>
  <c r="F147" i="40" s="1"/>
  <c r="H146" i="40"/>
  <c r="H148" i="39"/>
  <c r="G146" i="46"/>
  <c r="I146" i="46" s="1"/>
  <c r="D151" i="30"/>
  <c r="E151" i="30" s="1"/>
  <c r="F151" i="30" s="1"/>
  <c r="G150" i="30"/>
  <c r="I150" i="30" s="1"/>
  <c r="J150" i="30" s="1"/>
  <c r="D147" i="46"/>
  <c r="B147" i="46" s="1"/>
  <c r="H153" i="29"/>
  <c r="D154" i="29"/>
  <c r="G153" i="29"/>
  <c r="I153" i="29" s="1"/>
  <c r="D149" i="39"/>
  <c r="B149" i="39" s="1"/>
  <c r="G148" i="39"/>
  <c r="I148" i="39" s="1"/>
  <c r="D149" i="37"/>
  <c r="E149" i="37" s="1"/>
  <c r="F149" i="37" s="1"/>
  <c r="G149" i="37" s="1"/>
  <c r="I149" i="37" s="1"/>
  <c r="G148" i="37"/>
  <c r="I148" i="37" s="1"/>
  <c r="H146" i="42"/>
  <c r="D147" i="42"/>
  <c r="E147" i="42" s="1"/>
  <c r="F147" i="42" s="1"/>
  <c r="G147" i="42" s="1"/>
  <c r="I147" i="42" s="1"/>
  <c r="J152" i="28"/>
  <c r="E153" i="28"/>
  <c r="F153" i="28" s="1"/>
  <c r="H153" i="28" s="1"/>
  <c r="F154" i="31"/>
  <c r="G154" i="31" s="1"/>
  <c r="H154" i="31" s="1"/>
  <c r="H155" i="31" s="1"/>
  <c r="E147" i="44"/>
  <c r="F147" i="44" s="1"/>
  <c r="D148" i="44" s="1"/>
  <c r="B150" i="41"/>
  <c r="H150" i="41"/>
  <c r="B147" i="40"/>
  <c r="H147" i="40"/>
  <c r="H154" i="27"/>
  <c r="H155" i="27" s="1"/>
  <c r="I154" i="27"/>
  <c r="G150" i="41"/>
  <c r="I150" i="41" s="1"/>
  <c r="D151" i="41"/>
  <c r="E147" i="38"/>
  <c r="F147" i="38" s="1"/>
  <c r="G147" i="40"/>
  <c r="I147" i="40" s="1"/>
  <c r="D148" i="40"/>
  <c r="D146" i="43"/>
  <c r="E146" i="43" s="1"/>
  <c r="F146" i="43" s="1"/>
  <c r="G145" i="43"/>
  <c r="I145" i="43" s="1"/>
  <c r="E147" i="45"/>
  <c r="F147" i="45" s="1"/>
  <c r="H147" i="45" s="1"/>
  <c r="B147" i="45"/>
  <c r="E147" i="46" l="1"/>
  <c r="E149" i="39"/>
  <c r="F149" i="39" s="1"/>
  <c r="D150" i="39" s="1"/>
  <c r="E150" i="39" s="1"/>
  <c r="F150" i="39" s="1"/>
  <c r="D148" i="42"/>
  <c r="E148" i="42" s="1"/>
  <c r="F148" i="42" s="1"/>
  <c r="D149" i="42" s="1"/>
  <c r="B149" i="42" s="1"/>
  <c r="D152" i="30"/>
  <c r="E152" i="30" s="1"/>
  <c r="F152" i="30" s="1"/>
  <c r="G151" i="30"/>
  <c r="I151" i="30" s="1"/>
  <c r="B151" i="30"/>
  <c r="H151" i="30"/>
  <c r="F147" i="46"/>
  <c r="H147" i="46" s="1"/>
  <c r="J153" i="29"/>
  <c r="D150" i="37"/>
  <c r="B150" i="37" s="1"/>
  <c r="H149" i="37"/>
  <c r="B149" i="37"/>
  <c r="B154" i="29"/>
  <c r="E154" i="29"/>
  <c r="H149" i="39"/>
  <c r="B147" i="42"/>
  <c r="G153" i="28"/>
  <c r="I153" i="28" s="1"/>
  <c r="J153" i="28" s="1"/>
  <c r="D154" i="28"/>
  <c r="E154" i="28" s="1"/>
  <c r="E155" i="28" s="1"/>
  <c r="G147" i="44"/>
  <c r="I147" i="44" s="1"/>
  <c r="H147" i="44"/>
  <c r="I154" i="31"/>
  <c r="I155" i="31" s="1"/>
  <c r="H147" i="42"/>
  <c r="E148" i="40"/>
  <c r="F148" i="40" s="1"/>
  <c r="H148" i="40" s="1"/>
  <c r="B148" i="40"/>
  <c r="H147" i="38"/>
  <c r="D148" i="38"/>
  <c r="E148" i="38" s="1"/>
  <c r="F148" i="38" s="1"/>
  <c r="G147" i="38"/>
  <c r="I147" i="38" s="1"/>
  <c r="E151" i="41"/>
  <c r="F151" i="41" s="1"/>
  <c r="H151" i="41" s="1"/>
  <c r="B151" i="41"/>
  <c r="H148" i="42"/>
  <c r="E148" i="44"/>
  <c r="F148" i="44" s="1"/>
  <c r="H148" i="44" s="1"/>
  <c r="B148" i="44"/>
  <c r="D148" i="45"/>
  <c r="G147" i="45"/>
  <c r="I147" i="45" s="1"/>
  <c r="J154" i="27"/>
  <c r="J155" i="27" s="1"/>
  <c r="I155" i="27"/>
  <c r="G146" i="43"/>
  <c r="I146" i="43" s="1"/>
  <c r="D147" i="43"/>
  <c r="E147" i="43" s="1"/>
  <c r="F147" i="43" s="1"/>
  <c r="B146" i="43"/>
  <c r="H146" i="43"/>
  <c r="G148" i="42" l="1"/>
  <c r="I148" i="42" s="1"/>
  <c r="G149" i="39"/>
  <c r="I149" i="39" s="1"/>
  <c r="B148" i="42"/>
  <c r="G147" i="46"/>
  <c r="I147" i="46" s="1"/>
  <c r="D153" i="30"/>
  <c r="G152" i="30"/>
  <c r="I152" i="30" s="1"/>
  <c r="J151" i="30"/>
  <c r="D148" i="46"/>
  <c r="B148" i="46" s="1"/>
  <c r="B152" i="30"/>
  <c r="H152" i="30"/>
  <c r="E150" i="37"/>
  <c r="F150" i="37" s="1"/>
  <c r="H150" i="37" s="1"/>
  <c r="E155" i="29"/>
  <c r="F154" i="29"/>
  <c r="G154" i="29" s="1"/>
  <c r="G150" i="39"/>
  <c r="I150" i="39" s="1"/>
  <c r="D151" i="39"/>
  <c r="E151" i="39" s="1"/>
  <c r="F151" i="39" s="1"/>
  <c r="B150" i="39"/>
  <c r="H150" i="39"/>
  <c r="B154" i="28"/>
  <c r="F154" i="28"/>
  <c r="G154" i="28" s="1"/>
  <c r="H154" i="28" s="1"/>
  <c r="H155" i="28" s="1"/>
  <c r="J154" i="31"/>
  <c r="J155" i="31" s="1"/>
  <c r="E149" i="42"/>
  <c r="F149" i="42" s="1"/>
  <c r="H149" i="42" s="1"/>
  <c r="B148" i="38"/>
  <c r="H148" i="38"/>
  <c r="B148" i="45"/>
  <c r="G151" i="41"/>
  <c r="I151" i="41" s="1"/>
  <c r="D152" i="41"/>
  <c r="B152" i="41" s="1"/>
  <c r="D148" i="43"/>
  <c r="E148" i="43" s="1"/>
  <c r="F148" i="43" s="1"/>
  <c r="G147" i="43"/>
  <c r="I147" i="43" s="1"/>
  <c r="D149" i="38"/>
  <c r="G148" i="38"/>
  <c r="I148" i="38" s="1"/>
  <c r="B147" i="43"/>
  <c r="H147" i="43"/>
  <c r="E148" i="45"/>
  <c r="F148" i="45" s="1"/>
  <c r="H148" i="45" s="1"/>
  <c r="D149" i="44"/>
  <c r="B149" i="44" s="1"/>
  <c r="G148" i="44"/>
  <c r="I148" i="44" s="1"/>
  <c r="D149" i="40"/>
  <c r="B149" i="40" s="1"/>
  <c r="G148" i="40"/>
  <c r="I148" i="40" s="1"/>
  <c r="E148" i="46" l="1"/>
  <c r="F148" i="46" s="1"/>
  <c r="J152" i="30"/>
  <c r="E153" i="30"/>
  <c r="F153" i="30" s="1"/>
  <c r="H153" i="30" s="1"/>
  <c r="B153" i="30"/>
  <c r="I154" i="28"/>
  <c r="J154" i="28" s="1"/>
  <c r="J155" i="28" s="1"/>
  <c r="D151" i="37"/>
  <c r="E151" i="37" s="1"/>
  <c r="F151" i="37" s="1"/>
  <c r="H151" i="37" s="1"/>
  <c r="G150" i="37"/>
  <c r="I150" i="37" s="1"/>
  <c r="I154" i="29"/>
  <c r="H154" i="29"/>
  <c r="H155" i="29" s="1"/>
  <c r="G151" i="39"/>
  <c r="I151" i="39" s="1"/>
  <c r="D152" i="39"/>
  <c r="B151" i="39"/>
  <c r="H151" i="39"/>
  <c r="G149" i="42"/>
  <c r="I149" i="42" s="1"/>
  <c r="D150" i="42"/>
  <c r="E150" i="42" s="1"/>
  <c r="F150" i="42" s="1"/>
  <c r="G150" i="42" s="1"/>
  <c r="I150" i="42" s="1"/>
  <c r="E152" i="41"/>
  <c r="F152" i="41" s="1"/>
  <c r="D153" i="41" s="1"/>
  <c r="B153" i="41" s="1"/>
  <c r="E149" i="40"/>
  <c r="F149" i="40" s="1"/>
  <c r="G149" i="40" s="1"/>
  <c r="I149" i="40" s="1"/>
  <c r="G148" i="43"/>
  <c r="I148" i="43" s="1"/>
  <c r="D149" i="43"/>
  <c r="E149" i="43" s="1"/>
  <c r="F149" i="43" s="1"/>
  <c r="B149" i="38"/>
  <c r="D149" i="45"/>
  <c r="E149" i="45" s="1"/>
  <c r="F149" i="45" s="1"/>
  <c r="G148" i="45"/>
  <c r="I148" i="45" s="1"/>
  <c r="G148" i="46"/>
  <c r="I148" i="46" s="1"/>
  <c r="D149" i="46"/>
  <c r="B149" i="46" s="1"/>
  <c r="E149" i="38"/>
  <c r="F149" i="38" s="1"/>
  <c r="H149" i="38" s="1"/>
  <c r="B148" i="43"/>
  <c r="H148" i="43"/>
  <c r="E149" i="44"/>
  <c r="F149" i="44" s="1"/>
  <c r="H148" i="46"/>
  <c r="I155" i="28" l="1"/>
  <c r="B151" i="37"/>
  <c r="D154" i="30"/>
  <c r="G153" i="30"/>
  <c r="I153" i="30" s="1"/>
  <c r="J153" i="30" s="1"/>
  <c r="G151" i="37"/>
  <c r="I151" i="37" s="1"/>
  <c r="D152" i="37"/>
  <c r="B152" i="37" s="1"/>
  <c r="I155" i="29"/>
  <c r="J154" i="29"/>
  <c r="J155" i="29" s="1"/>
  <c r="G152" i="41"/>
  <c r="I152" i="41" s="1"/>
  <c r="H152" i="41"/>
  <c r="B150" i="42"/>
  <c r="D151" i="42"/>
  <c r="B151" i="42" s="1"/>
  <c r="B152" i="39"/>
  <c r="E152" i="39"/>
  <c r="F152" i="39" s="1"/>
  <c r="D150" i="40"/>
  <c r="B150" i="40" s="1"/>
  <c r="H150" i="42"/>
  <c r="H149" i="40"/>
  <c r="E149" i="46"/>
  <c r="F149" i="46" s="1"/>
  <c r="H149" i="46" s="1"/>
  <c r="B149" i="45"/>
  <c r="H149" i="45"/>
  <c r="D150" i="45"/>
  <c r="G149" i="45"/>
  <c r="I149" i="45" s="1"/>
  <c r="H149" i="44"/>
  <c r="G149" i="44"/>
  <c r="I149" i="44" s="1"/>
  <c r="D150" i="44"/>
  <c r="B150" i="44" s="1"/>
  <c r="G149" i="38"/>
  <c r="I149" i="38" s="1"/>
  <c r="D150" i="38"/>
  <c r="E150" i="38" s="1"/>
  <c r="F150" i="38" s="1"/>
  <c r="G149" i="43"/>
  <c r="I149" i="43" s="1"/>
  <c r="D150" i="43"/>
  <c r="E153" i="41"/>
  <c r="F153" i="41" s="1"/>
  <c r="B149" i="43"/>
  <c r="H149" i="43"/>
  <c r="E152" i="37" l="1"/>
  <c r="F152" i="37" s="1"/>
  <c r="H152" i="37" s="1"/>
  <c r="E154" i="30"/>
  <c r="E155" i="30" s="1"/>
  <c r="B154" i="30"/>
  <c r="E151" i="42"/>
  <c r="F151" i="42" s="1"/>
  <c r="H152" i="39"/>
  <c r="D153" i="39"/>
  <c r="B153" i="39" s="1"/>
  <c r="G152" i="39"/>
  <c r="I152" i="39" s="1"/>
  <c r="E150" i="40"/>
  <c r="F150" i="40" s="1"/>
  <c r="H150" i="40" s="1"/>
  <c r="D150" i="46"/>
  <c r="G149" i="46"/>
  <c r="I149" i="46" s="1"/>
  <c r="E150" i="44"/>
  <c r="F150" i="44" s="1"/>
  <c r="H150" i="44" s="1"/>
  <c r="D151" i="38"/>
  <c r="E151" i="38" s="1"/>
  <c r="F151" i="38" s="1"/>
  <c r="G150" i="38"/>
  <c r="I150" i="38" s="1"/>
  <c r="B150" i="38"/>
  <c r="H150" i="38"/>
  <c r="H153" i="41"/>
  <c r="G153" i="41"/>
  <c r="I153" i="41" s="1"/>
  <c r="D154" i="41"/>
  <c r="E150" i="43"/>
  <c r="F150" i="43" s="1"/>
  <c r="B150" i="43"/>
  <c r="E150" i="45"/>
  <c r="F150" i="45" s="1"/>
  <c r="H150" i="45" s="1"/>
  <c r="B150" i="45"/>
  <c r="D153" i="37" l="1"/>
  <c r="B153" i="37" s="1"/>
  <c r="G152" i="37"/>
  <c r="I152" i="37" s="1"/>
  <c r="F154" i="30"/>
  <c r="G154" i="30" s="1"/>
  <c r="I154" i="30" s="1"/>
  <c r="G150" i="40"/>
  <c r="I150" i="40" s="1"/>
  <c r="D151" i="40"/>
  <c r="B151" i="40" s="1"/>
  <c r="E153" i="39"/>
  <c r="F153" i="39" s="1"/>
  <c r="G151" i="42"/>
  <c r="I151" i="42" s="1"/>
  <c r="H151" i="42"/>
  <c r="D152" i="42"/>
  <c r="D151" i="44"/>
  <c r="B151" i="44" s="1"/>
  <c r="G150" i="44"/>
  <c r="I150" i="44" s="1"/>
  <c r="B150" i="46"/>
  <c r="E150" i="46"/>
  <c r="F150" i="46" s="1"/>
  <c r="E154" i="41"/>
  <c r="E155" i="41" s="1"/>
  <c r="B154" i="41"/>
  <c r="D152" i="38"/>
  <c r="G151" i="38"/>
  <c r="I151" i="38" s="1"/>
  <c r="D151" i="43"/>
  <c r="E151" i="43" s="1"/>
  <c r="F151" i="43" s="1"/>
  <c r="G150" i="43"/>
  <c r="I150" i="43" s="1"/>
  <c r="G150" i="45"/>
  <c r="I150" i="45" s="1"/>
  <c r="D151" i="45"/>
  <c r="B151" i="45" s="1"/>
  <c r="H150" i="43"/>
  <c r="B151" i="38"/>
  <c r="H151" i="38"/>
  <c r="E153" i="37" l="1"/>
  <c r="F153" i="37" s="1"/>
  <c r="H154" i="30"/>
  <c r="H155" i="30" s="1"/>
  <c r="I155" i="30"/>
  <c r="E151" i="40"/>
  <c r="F151" i="40" s="1"/>
  <c r="H151" i="40" s="1"/>
  <c r="E151" i="44"/>
  <c r="F151" i="44" s="1"/>
  <c r="H151" i="44" s="1"/>
  <c r="E152" i="42"/>
  <c r="F152" i="42" s="1"/>
  <c r="B152" i="42"/>
  <c r="H153" i="39"/>
  <c r="G153" i="39"/>
  <c r="I153" i="39" s="1"/>
  <c r="D154" i="39"/>
  <c r="H150" i="46"/>
  <c r="G150" i="46"/>
  <c r="I150" i="46" s="1"/>
  <c r="D151" i="46"/>
  <c r="E151" i="46" s="1"/>
  <c r="F151" i="46" s="1"/>
  <c r="E151" i="45"/>
  <c r="F151" i="45" s="1"/>
  <c r="H151" i="45" s="1"/>
  <c r="D152" i="43"/>
  <c r="E152" i="43" s="1"/>
  <c r="F152" i="43" s="1"/>
  <c r="G151" i="43"/>
  <c r="I151" i="43" s="1"/>
  <c r="E152" i="38"/>
  <c r="F152" i="38" s="1"/>
  <c r="H152" i="38" s="1"/>
  <c r="B152" i="38"/>
  <c r="F154" i="41"/>
  <c r="G154" i="41" s="1"/>
  <c r="H151" i="43"/>
  <c r="B151" i="43"/>
  <c r="G151" i="40" l="1"/>
  <c r="I151" i="40" s="1"/>
  <c r="D152" i="40"/>
  <c r="E152" i="40" s="1"/>
  <c r="F152" i="40" s="1"/>
  <c r="G152" i="40" s="1"/>
  <c r="I152" i="40" s="1"/>
  <c r="H153" i="37"/>
  <c r="G153" i="37"/>
  <c r="I153" i="37" s="1"/>
  <c r="D154" i="37"/>
  <c r="J154" i="30"/>
  <c r="J155" i="30" s="1"/>
  <c r="D152" i="44"/>
  <c r="E152" i="44" s="1"/>
  <c r="F152" i="44" s="1"/>
  <c r="H152" i="44" s="1"/>
  <c r="G151" i="44"/>
  <c r="I151" i="44" s="1"/>
  <c r="E154" i="39"/>
  <c r="E155" i="39" s="1"/>
  <c r="B154" i="39"/>
  <c r="H152" i="42"/>
  <c r="D153" i="42"/>
  <c r="G152" i="42"/>
  <c r="I152" i="42" s="1"/>
  <c r="G151" i="46"/>
  <c r="I151" i="46" s="1"/>
  <c r="D152" i="46"/>
  <c r="B151" i="46"/>
  <c r="H151" i="46"/>
  <c r="D152" i="45"/>
  <c r="B152" i="45" s="1"/>
  <c r="G151" i="45"/>
  <c r="I151" i="45" s="1"/>
  <c r="H154" i="41"/>
  <c r="H155" i="41" s="1"/>
  <c r="I154" i="41"/>
  <c r="I155" i="41" s="1"/>
  <c r="D153" i="43"/>
  <c r="E153" i="43" s="1"/>
  <c r="F153" i="43" s="1"/>
  <c r="G152" i="43"/>
  <c r="I152" i="43" s="1"/>
  <c r="G152" i="38"/>
  <c r="I152" i="38" s="1"/>
  <c r="D153" i="38"/>
  <c r="H152" i="43"/>
  <c r="B152" i="43"/>
  <c r="B152" i="40" l="1"/>
  <c r="H152" i="40"/>
  <c r="B152" i="44"/>
  <c r="D153" i="40"/>
  <c r="E153" i="40" s="1"/>
  <c r="F153" i="40" s="1"/>
  <c r="D154" i="40" s="1"/>
  <c r="B154" i="40" s="1"/>
  <c r="E154" i="37"/>
  <c r="E155" i="37" s="1"/>
  <c r="B154" i="37"/>
  <c r="F154" i="39"/>
  <c r="G154" i="39" s="1"/>
  <c r="H154" i="39" s="1"/>
  <c r="H155" i="39" s="1"/>
  <c r="H153" i="40"/>
  <c r="B153" i="42"/>
  <c r="E153" i="42"/>
  <c r="F153" i="42" s="1"/>
  <c r="E152" i="45"/>
  <c r="F152" i="45" s="1"/>
  <c r="H152" i="45" s="1"/>
  <c r="B152" i="46"/>
  <c r="E152" i="46"/>
  <c r="F152" i="46" s="1"/>
  <c r="B153" i="43"/>
  <c r="H153" i="43"/>
  <c r="D154" i="43"/>
  <c r="E154" i="43" s="1"/>
  <c r="E155" i="43" s="1"/>
  <c r="G153" i="43"/>
  <c r="I153" i="43" s="1"/>
  <c r="D153" i="44"/>
  <c r="E153" i="44" s="1"/>
  <c r="F153" i="44" s="1"/>
  <c r="G152" i="44"/>
  <c r="I152" i="44" s="1"/>
  <c r="E153" i="38"/>
  <c r="F153" i="38" s="1"/>
  <c r="H153" i="38" s="1"/>
  <c r="B153" i="38"/>
  <c r="E154" i="40" l="1"/>
  <c r="E155" i="40" s="1"/>
  <c r="G153" i="40"/>
  <c r="I153" i="40" s="1"/>
  <c r="B153" i="40"/>
  <c r="I154" i="39"/>
  <c r="I155" i="39" s="1"/>
  <c r="F154" i="37"/>
  <c r="G154" i="37" s="1"/>
  <c r="H154" i="37" s="1"/>
  <c r="H155" i="37" s="1"/>
  <c r="G152" i="45"/>
  <c r="I152" i="45" s="1"/>
  <c r="D153" i="45"/>
  <c r="B153" i="45" s="1"/>
  <c r="H153" i="42"/>
  <c r="G153" i="42"/>
  <c r="I153" i="42" s="1"/>
  <c r="D154" i="42"/>
  <c r="D153" i="46"/>
  <c r="B153" i="46" s="1"/>
  <c r="G152" i="46"/>
  <c r="I152" i="46" s="1"/>
  <c r="H152" i="46"/>
  <c r="F154" i="40"/>
  <c r="G154" i="40" s="1"/>
  <c r="H154" i="40" s="1"/>
  <c r="H155" i="40" s="1"/>
  <c r="G153" i="44"/>
  <c r="I153" i="44" s="1"/>
  <c r="D154" i="44"/>
  <c r="E154" i="44" s="1"/>
  <c r="E155" i="44" s="1"/>
  <c r="G153" i="38"/>
  <c r="I153" i="38" s="1"/>
  <c r="D154" i="38"/>
  <c r="E154" i="38" s="1"/>
  <c r="E155" i="38" s="1"/>
  <c r="B153" i="44"/>
  <c r="H153" i="44"/>
  <c r="B154" i="43"/>
  <c r="F154" i="43"/>
  <c r="G154" i="43" s="1"/>
  <c r="E153" i="45" l="1"/>
  <c r="F153" i="45" s="1"/>
  <c r="H153" i="45" s="1"/>
  <c r="I154" i="37"/>
  <c r="I155" i="37" s="1"/>
  <c r="E154" i="42"/>
  <c r="E155" i="42" s="1"/>
  <c r="B154" i="42"/>
  <c r="E153" i="46"/>
  <c r="F153" i="46" s="1"/>
  <c r="H153" i="46" s="1"/>
  <c r="I154" i="40"/>
  <c r="I155" i="40" s="1"/>
  <c r="B154" i="38"/>
  <c r="F154" i="38"/>
  <c r="G154" i="38" s="1"/>
  <c r="B154" i="44"/>
  <c r="F154" i="44"/>
  <c r="G154" i="44" s="1"/>
  <c r="I154" i="43"/>
  <c r="I155" i="43" s="1"/>
  <c r="H154" i="43"/>
  <c r="H155" i="43" s="1"/>
  <c r="D154" i="45" l="1"/>
  <c r="G153" i="45"/>
  <c r="I153" i="45" s="1"/>
  <c r="F154" i="42"/>
  <c r="G154" i="42" s="1"/>
  <c r="H154" i="42" s="1"/>
  <c r="H155" i="42" s="1"/>
  <c r="G153" i="46"/>
  <c r="I153" i="46" s="1"/>
  <c r="D154" i="46"/>
  <c r="B154" i="46" s="1"/>
  <c r="H154" i="44"/>
  <c r="H155" i="44" s="1"/>
  <c r="I154" i="44"/>
  <c r="I155" i="44" s="1"/>
  <c r="H154" i="38"/>
  <c r="H155" i="38" s="1"/>
  <c r="I154" i="38"/>
  <c r="I155" i="38" s="1"/>
  <c r="E154" i="46" l="1"/>
  <c r="F154" i="46" s="1"/>
  <c r="G154" i="46" s="1"/>
  <c r="B154" i="45"/>
  <c r="E154" i="45"/>
  <c r="E155" i="45" s="1"/>
  <c r="I154" i="42"/>
  <c r="I155" i="42" s="1"/>
  <c r="E155" i="46" l="1"/>
  <c r="F154" i="45"/>
  <c r="G154" i="45" s="1"/>
  <c r="I154" i="45" s="1"/>
  <c r="I155" i="45" s="1"/>
  <c r="H154" i="46"/>
  <c r="H155" i="46" s="1"/>
  <c r="I154" i="46"/>
  <c r="I155" i="46" s="1"/>
  <c r="H154" i="45" l="1"/>
  <c r="H155" i="45" s="1"/>
  <c r="Q48" i="17" l="1"/>
  <c r="R48" i="17" s="1"/>
  <c r="T48" i="17" s="1"/>
  <c r="Q34" i="17"/>
  <c r="R34" i="17" s="1"/>
  <c r="T34" i="17" s="1"/>
  <c r="Q21" i="17"/>
  <c r="R21" i="17" s="1"/>
  <c r="T21" i="17" s="1"/>
  <c r="Q23" i="17"/>
  <c r="R23" i="17" s="1"/>
  <c r="T23" i="17" s="1"/>
  <c r="Q26" i="17"/>
  <c r="R26" i="17" s="1"/>
  <c r="T26" i="17" s="1"/>
  <c r="Q41" i="17"/>
  <c r="R41" i="17" s="1"/>
  <c r="T41" i="17" s="1"/>
  <c r="Q29" i="17"/>
  <c r="R29" i="17" s="1"/>
  <c r="T29" i="17" s="1"/>
  <c r="Q40" i="17"/>
  <c r="R40" i="17" s="1"/>
  <c r="T40" i="17" s="1"/>
  <c r="Q20" i="17"/>
  <c r="R20" i="17" s="1"/>
  <c r="T20" i="17" s="1"/>
  <c r="Q28" i="17"/>
  <c r="R28" i="17" s="1"/>
  <c r="T28" i="17" s="1"/>
  <c r="Q39" i="17"/>
  <c r="R39" i="17" s="1"/>
  <c r="T39" i="17" s="1"/>
  <c r="Q44" i="17"/>
  <c r="R44" i="17" s="1"/>
  <c r="T44" i="17" s="1"/>
  <c r="Q47" i="17"/>
  <c r="R47" i="17" s="1"/>
  <c r="T47" i="17" s="1"/>
  <c r="Q38" i="17"/>
  <c r="R38" i="17" s="1"/>
  <c r="T38" i="17" s="1"/>
  <c r="Q46" i="17"/>
  <c r="R46" i="17" s="1"/>
  <c r="T46" i="17" s="1"/>
  <c r="Q37" i="17"/>
  <c r="R37" i="17" s="1"/>
  <c r="T37" i="17" s="1"/>
  <c r="Q36" i="17"/>
  <c r="R36" i="17" s="1"/>
  <c r="T36" i="17" s="1"/>
  <c r="Q31" i="17"/>
  <c r="R31" i="17" s="1"/>
  <c r="T31" i="17" s="1"/>
  <c r="Q43" i="17"/>
  <c r="R43" i="17" s="1"/>
  <c r="T43" i="17" s="1"/>
  <c r="Q33" i="17"/>
  <c r="R33" i="17" s="1"/>
  <c r="T33" i="17" s="1"/>
  <c r="Q25" i="17"/>
  <c r="R25" i="17" s="1"/>
  <c r="T25" i="17" s="1"/>
  <c r="Q19" i="17"/>
  <c r="R19" i="17" s="1"/>
  <c r="T19" i="17" s="1"/>
  <c r="Q18" i="17"/>
  <c r="R18" i="17" s="1"/>
  <c r="Q24" i="17"/>
  <c r="R24" i="17" s="1"/>
  <c r="T24" i="17" s="1"/>
  <c r="Q27" i="17"/>
  <c r="R27" i="17" s="1"/>
  <c r="T27" i="17" s="1"/>
  <c r="Q42" i="17"/>
  <c r="R42" i="17" s="1"/>
  <c r="T42" i="17" s="1"/>
  <c r="Q35" i="17"/>
  <c r="R35" i="17" s="1"/>
  <c r="T35" i="17" s="1"/>
  <c r="Q45" i="17"/>
  <c r="R45" i="17" s="1"/>
  <c r="T45" i="17" s="1"/>
  <c r="Q30" i="17"/>
  <c r="R30" i="17" s="1"/>
  <c r="T30" i="17" s="1"/>
  <c r="Q32" i="17"/>
  <c r="R32" i="17" s="1"/>
  <c r="T32" i="17" s="1"/>
  <c r="Q22" i="17"/>
  <c r="R22" i="17" s="1"/>
  <c r="T22" i="17" s="1"/>
  <c r="T18" i="17" l="1"/>
  <c r="T50" i="17" s="1"/>
  <c r="R50" i="17"/>
  <c r="Q5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  <author>AEP</author>
    <author>rlp</author>
    <author>S177040</author>
  </authors>
  <commentList>
    <comment ref="C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50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50" authorId="3" shapeId="0" xr:uid="{00000000-0006-0000-0000-00000D000000}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</authors>
  <commentList>
    <comment ref="L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Williamson</author>
    <author>rlp</author>
  </authors>
  <commentList>
    <comment ref="O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G1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20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1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<sst xmlns="http://schemas.openxmlformats.org/spreadsheetml/2006/main" count="4046" uniqueCount="366">
  <si>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</si>
  <si>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</si>
  <si>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</si>
  <si>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</si>
  <si>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</si>
  <si>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</si>
  <si>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</si>
  <si>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</si>
  <si>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</si>
  <si>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</si>
  <si>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</si>
  <si>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</si>
  <si>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</si>
  <si>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</si>
  <si>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</si>
  <si>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</si>
  <si>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</si>
  <si>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</si>
  <si>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</si>
  <si>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</si>
  <si>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</si>
  <si>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</si>
  <si>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</si>
  <si>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</si>
  <si>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</si>
  <si>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</si>
  <si>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</si>
  <si>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</si>
  <si>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</si>
  <si>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</si>
  <si>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</si>
  <si>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</si>
  <si>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</si>
  <si>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</si>
  <si>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</si>
  <si>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</si>
  <si>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</si>
  <si>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</si>
  <si>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</si>
  <si>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</si>
  <si>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</si>
  <si>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</si>
  <si>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</si>
  <si>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</si>
  <si>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</si>
  <si>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</si>
  <si>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</si>
  <si>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</si>
  <si>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</si>
  <si>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</si>
  <si>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</si>
  <si>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</si>
  <si>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</si>
  <si>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</si>
  <si>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</si>
  <si>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</si>
  <si>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</si>
  <si>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</si>
  <si>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</si>
  <si>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</si>
  <si>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</si>
  <si>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</si>
  <si>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</si>
  <si>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</si>
  <si>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</si>
  <si>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</si>
  <si>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</si>
  <si>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</si>
  <si>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</si>
  <si>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</si>
  <si>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</si>
  <si>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</si>
  <si>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</si>
  <si>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</si>
  <si>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</si>
  <si>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</si>
  <si>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</si>
  <si>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</si>
  <si>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</si>
  <si>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</si>
  <si>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</si>
  <si>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</si>
  <si>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</si>
  <si>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</si>
  <si>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</si>
  <si>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</si>
  <si>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</si>
  <si>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</si>
  <si>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</si>
  <si>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</si>
  <si>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</si>
  <si>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</si>
  <si>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</si>
  <si>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</si>
  <si>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</si>
  <si>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</si>
  <si>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</si>
  <si>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</si>
  <si>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</si>
  <si>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</si>
  <si>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</si>
  <si>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</si>
  <si>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</si>
  <si>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</si>
  <si>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</si>
  <si>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</si>
  <si>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</si>
  <si>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</si>
  <si>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</si>
  <si>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</si>
  <si>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</si>
  <si>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</si>
  <si>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</si>
  <si>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</si>
  <si>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</si>
  <si>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</si>
  <si>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</si>
  <si>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</si>
  <si>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</si>
  <si>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</si>
  <si>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</si>
  <si>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</si>
  <si>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</si>
  <si>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</si>
  <si>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</si>
  <si>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</si>
  <si>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</si>
  <si>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</si>
  <si>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</si>
  <si>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</si>
  <si>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</si>
  <si>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</si>
  <si>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</si>
  <si>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</si>
  <si>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</si>
  <si>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</si>
  <si>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</si>
  <si>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</si>
  <si>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</si>
  <si>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</si>
  <si>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</si>
  <si>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</si>
  <si>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</si>
  <si>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</si>
  <si>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</si>
  <si>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</si>
  <si>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</si>
  <si>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</si>
  <si>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</si>
  <si>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</si>
  <si>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</si>
  <si>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</si>
  <si>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</si>
  <si>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</si>
  <si>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</si>
  <si>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</si>
  <si>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</si>
  <si>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</si>
  <si>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</si>
  <si>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</si>
  <si>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</si>
  <si>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</si>
  <si>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</si>
  <si>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</si>
  <si>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</si>
  <si>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</si>
  <si>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</si>
  <si>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</si>
  <si>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</si>
  <si>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</si>
  <si>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</si>
  <si>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</si>
  <si>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</si>
  <si>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</si>
  <si>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</si>
  <si>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</si>
  <si>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</si>
  <si>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</si>
  <si>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</si>
  <si>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</si>
  <si>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</si>
  <si>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</si>
  <si>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</si>
  <si>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</si>
  <si>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</si>
  <si>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</si>
  <si>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</si>
  <si>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</si>
  <si>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</si>
  <si>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</si>
  <si>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</si>
  <si>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</si>
  <si>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</si>
  <si>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</si>
  <si>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</si>
  <si>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</si>
  <si>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</si>
  <si>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</si>
  <si>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</si>
  <si>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</si>
  <si>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</si>
  <si>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</si>
  <si>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</si>
  <si>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</si>
  <si>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</si>
  <si>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</si>
  <si>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</si>
  <si>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</si>
  <si>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</si>
  <si>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</si>
  <si>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</si>
  <si>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</si>
  <si>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</si>
  <si>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</si>
  <si>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</si>
  <si>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</si>
  <si>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</si>
  <si>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</si>
  <si>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</si>
  <si>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</si>
  <si>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</si>
  <si>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</si>
  <si>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</si>
  <si>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</si>
  <si>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</si>
  <si>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</si>
  <si>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</si>
  <si>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</si>
  <si>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</si>
  <si>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</si>
  <si>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</si>
  <si>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</si>
  <si>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</si>
  <si>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</si>
  <si>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</si>
  <si>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</si>
  <si>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</si>
  <si>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</si>
  <si>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</si>
  <si>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</si>
  <si>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</si>
  <si>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</si>
  <si>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</si>
  <si>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</si>
  <si>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</si>
  <si>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</si>
  <si>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</si>
  <si>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</si>
  <si>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</si>
  <si>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</si>
  <si>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</si>
  <si>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</si>
  <si>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</si>
  <si>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</si>
  <si>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</si>
  <si>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</si>
  <si>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</si>
  <si>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</si>
  <si>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</si>
  <si>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</si>
  <si>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</si>
  <si>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</si>
  <si>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</si>
  <si>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</si>
  <si>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</si>
  <si>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</si>
  <si>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</si>
  <si>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</si>
  <si>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</si>
  <si>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</si>
  <si>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</si>
  <si>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</si>
  <si>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</si>
  <si>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</si>
  <si>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</si>
  <si>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</si>
  <si>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</si>
  <si>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</si>
  <si>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</si>
  <si>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</si>
  <si>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</si>
  <si>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</si>
  <si>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</si>
  <si>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</si>
  <si>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</si>
  <si>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 xml:space="preserve">   FCR less Depreciation  (Projected TCOS, ln 12)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</si>
  <si>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</si>
  <si>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</si>
  <si>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</si>
  <si>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</si>
  <si>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</si>
  <si>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</si>
  <si>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</si>
  <si>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</si>
  <si>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</si>
  <si>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</si>
  <si>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</si>
  <si>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</si>
  <si>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</si>
  <si>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</si>
  <si>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</si>
  <si>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</si>
  <si>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</si>
  <si>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</si>
  <si>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</si>
  <si>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</si>
  <si>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</si>
  <si>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(Projected TCOS, ln 148)</t>
  </si>
  <si>
    <t>Annual Depreciation Expense  (Historic TCOS, ln 244)</t>
  </si>
  <si>
    <t>Fort Towson-Valliant Line Rebuild</t>
  </si>
  <si>
    <t>TP2015204</t>
  </si>
  <si>
    <t>P.025</t>
  </si>
  <si>
    <t xml:space="preserve">   Excess DFIT Adjustment  (TCOS, ln 109)</t>
  </si>
  <si>
    <t xml:space="preserve">   Tax Effect of Permanent and Flow Through Differences (TCOS, ln 110)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</si>
  <si>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</si>
  <si>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</si>
  <si>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</si>
  <si>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</si>
  <si>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</si>
  <si>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</si>
  <si>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</si>
  <si>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</si>
  <si>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</si>
  <si>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</si>
  <si>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</si>
  <si>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</si>
  <si>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</si>
  <si>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</si>
  <si>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</si>
  <si>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</si>
  <si>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</si>
  <si>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</si>
  <si>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>P.028</t>
  </si>
  <si>
    <t>Transmission Plant Average Balance for 2020</t>
  </si>
  <si>
    <t>TP2015118</t>
  </si>
  <si>
    <t xml:space="preserve">  SPP Project ID = 30809</t>
  </si>
  <si>
    <t>Tulsa SE - E 21st St Tap 138 kV</t>
  </si>
  <si>
    <t xml:space="preserve">  SPP Project ID = 81523</t>
  </si>
  <si>
    <t>P.029</t>
  </si>
  <si>
    <t>TP2020033</t>
  </si>
  <si>
    <t>Pryor Junction 138/115 kV</t>
  </si>
  <si>
    <t>TP2019132</t>
  </si>
  <si>
    <t xml:space="preserve">  SPP Project ID = 81571</t>
  </si>
  <si>
    <t>Tulsa SE - S Hudson 138 kV</t>
  </si>
  <si>
    <t>TP20033002</t>
  </si>
  <si>
    <t xml:space="preserve">  SPP Project ID = 81520</t>
  </si>
  <si>
    <t>P.030</t>
  </si>
  <si>
    <t>P.031</t>
  </si>
  <si>
    <t xml:space="preserve"> </t>
  </si>
  <si>
    <t xml:space="preserve">   ROE w/o incentives  (TCOS, ln 143)</t>
  </si>
  <si>
    <t xml:space="preserve">   Rate Base  (TCOS, ln 63)</t>
  </si>
  <si>
    <t xml:space="preserve">   Tax Rate  (TCOS, ln 99)</t>
  </si>
  <si>
    <t xml:space="preserve">   ITC Adjustment  (TCOS, ln 108)</t>
  </si>
  <si>
    <t xml:space="preserve">   Net Revenue Requirement  (TCOS, ln 117)</t>
  </si>
  <si>
    <t xml:space="preserve">   Return  (TCOS, ln 112)</t>
  </si>
  <si>
    <t xml:space="preserve">   Income Taxes  (TCOS, ln 111)</t>
  </si>
  <si>
    <t xml:space="preserve">  Gross Margin Taxes  (TCOS, ln 116)</t>
  </si>
  <si>
    <t xml:space="preserve">   Less: Depreciation  (TCOS, ln 86)</t>
  </si>
  <si>
    <t xml:space="preserve">   FCR less Depreciation  (TCOS, ln 10)</t>
  </si>
  <si>
    <t>Annual Depreciation Expense  (TCOS, ln 86)</t>
  </si>
  <si>
    <t>Transmission Plant Average Balance for 2023 (WS A-1 Ln 14 Col (d))</t>
  </si>
  <si>
    <t>2021 Formal Challenge Refund with Interest</t>
  </si>
  <si>
    <t>PSO Project 29 of 31</t>
  </si>
  <si>
    <t>PSO Project 30 of 31</t>
  </si>
  <si>
    <t>PSO Project 31 of 31</t>
  </si>
  <si>
    <t>True-Up ARR CY 2023 From Worksheet G  (includes adjustment for SPP Collections)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</si>
</sst>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&quot;$&quot;#,##0\ ;\(&quot;$&quot;#,##0\)"/>
    <numFmt numFmtId="178" formatCode="_(* #,##0.0,_);_(* \(#,##0.0,\);_(* &quot;-   &quot;_);_(@_)"/>
    <numFmt numFmtId="179" formatCode="0.0000%"/>
    <numFmt numFmtId="180" formatCode="0_);\(0\)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color rgb="FF0033CC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7" fontId="99" fillId="0" borderId="0" applyFont="0" applyFill="0" applyBorder="0" applyAlignment="0" applyProtection="0"/>
    <xf numFmtId="177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7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7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8" fontId="80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73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64" fillId="27" borderId="0" xfId="117" applyNumberFormat="1" applyFont="1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79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170" fontId="1" fillId="61" borderId="0" xfId="0" applyNumberFormat="1" applyFont="1" applyFill="1" applyBorder="1" applyProtection="1"/>
    <xf numFmtId="170" fontId="1" fillId="61" borderId="24" xfId="117" applyNumberFormat="1" applyFont="1" applyFill="1" applyBorder="1" applyProtection="1"/>
    <xf numFmtId="170" fontId="1" fillId="61" borderId="25" xfId="0" applyNumberFormat="1" applyFont="1" applyFill="1" applyBorder="1" applyProtection="1"/>
    <xf numFmtId="170" fontId="1" fillId="61" borderId="14" xfId="117" applyNumberFormat="1" applyFont="1" applyFill="1" applyBorder="1" applyProtection="1"/>
    <xf numFmtId="170" fontId="122" fillId="61" borderId="0" xfId="0" applyNumberFormat="1" applyFont="1" applyFill="1" applyBorder="1" applyProtection="1"/>
    <xf numFmtId="170" fontId="122" fillId="61" borderId="25" xfId="117" applyNumberFormat="1" applyFont="1" applyFill="1" applyBorder="1" applyProtection="1"/>
    <xf numFmtId="170" fontId="122" fillId="61" borderId="14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171" fontId="1" fillId="0" borderId="25" xfId="0" applyNumberFormat="1" applyFont="1" applyBorder="1" applyProtection="1"/>
    <xf numFmtId="170" fontId="121" fillId="62" borderId="42" xfId="0" applyNumberFormat="1" applyFont="1" applyFill="1" applyBorder="1" applyProtection="1"/>
    <xf numFmtId="170" fontId="54" fillId="62" borderId="41" xfId="0" applyNumberFormat="1" applyFont="1" applyFill="1" applyBorder="1" applyProtection="1"/>
    <xf numFmtId="170" fontId="54" fillId="62" borderId="42" xfId="0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70" fontId="1" fillId="0" borderId="0" xfId="117" applyNumberFormat="1" applyFont="1" applyProtection="1"/>
    <xf numFmtId="0" fontId="67" fillId="0" borderId="0" xfId="0" applyFont="1" applyAlignment="1">
      <alignment horizontal="right"/>
    </xf>
    <xf numFmtId="0" fontId="47" fillId="0" borderId="0" xfId="0" applyFont="1"/>
    <xf numFmtId="0" fontId="6" fillId="0" borderId="0" xfId="0" applyFont="1"/>
    <xf numFmtId="170" fontId="1" fillId="0" borderId="0" xfId="117" applyNumberFormat="1" applyFont="1" applyBorder="1" applyProtection="1"/>
    <xf numFmtId="0" fontId="14" fillId="0" borderId="0" xfId="549" applyNumberFormat="1" applyFont="1" applyProtection="1"/>
    <xf numFmtId="0" fontId="1" fillId="0" borderId="18" xfId="0" applyFont="1" applyBorder="1"/>
    <xf numFmtId="0" fontId="39" fillId="0" borderId="0" xfId="0" applyFont="1"/>
    <xf numFmtId="170" fontId="1" fillId="0" borderId="6" xfId="117" applyNumberFormat="1" applyFont="1" applyBorder="1" applyProtection="1"/>
    <xf numFmtId="170" fontId="1" fillId="0" borderId="16" xfId="117" applyNumberFormat="1" applyFont="1" applyBorder="1" applyProtection="1"/>
    <xf numFmtId="0" fontId="53" fillId="0" borderId="0" xfId="0" applyFont="1"/>
    <xf numFmtId="0" fontId="1" fillId="0" borderId="0" xfId="0" applyFont="1" applyAlignment="1">
      <alignment wrapText="1"/>
    </xf>
    <xf numFmtId="0" fontId="39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" fillId="0" borderId="13" xfId="0" quotePrefix="1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1" fillId="0" borderId="13" xfId="0" applyFont="1" applyBorder="1"/>
    <xf numFmtId="170" fontId="1" fillId="0" borderId="14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0" fontId="1" fillId="0" borderId="14" xfId="0" applyNumberFormat="1" applyFont="1" applyBorder="1"/>
    <xf numFmtId="170" fontId="1" fillId="0" borderId="14" xfId="117" applyNumberFormat="1" applyFont="1" applyBorder="1" applyProtection="1"/>
    <xf numFmtId="0" fontId="1" fillId="0" borderId="25" xfId="0" applyFont="1" applyBorder="1" applyAlignment="1">
      <alignment horizontal="center"/>
    </xf>
    <xf numFmtId="170" fontId="1" fillId="0" borderId="0" xfId="0" applyNumberFormat="1" applyFont="1"/>
    <xf numFmtId="170" fontId="1" fillId="0" borderId="25" xfId="0" applyNumberFormat="1" applyFont="1" applyBorder="1"/>
    <xf numFmtId="170" fontId="1" fillId="0" borderId="14" xfId="117" applyNumberFormat="1" applyFont="1" applyBorder="1"/>
    <xf numFmtId="171" fontId="1" fillId="0" borderId="14" xfId="0" applyNumberFormat="1" applyFont="1" applyBorder="1"/>
    <xf numFmtId="171" fontId="54" fillId="0" borderId="24" xfId="0" applyNumberFormat="1" applyFont="1" applyBorder="1"/>
    <xf numFmtId="171" fontId="1" fillId="0" borderId="24" xfId="0" applyNumberFormat="1" applyFont="1" applyBorder="1"/>
    <xf numFmtId="171" fontId="1" fillId="0" borderId="25" xfId="0" applyNumberFormat="1" applyFont="1" applyBorder="1"/>
    <xf numFmtId="170" fontId="1" fillId="0" borderId="25" xfId="117" applyNumberFormat="1" applyFont="1" applyBorder="1"/>
    <xf numFmtId="0" fontId="1" fillId="0" borderId="26" xfId="0" applyFont="1" applyBorder="1" applyAlignment="1">
      <alignment horizontal="center"/>
    </xf>
    <xf numFmtId="170" fontId="1" fillId="0" borderId="26" xfId="0" applyNumberFormat="1" applyFont="1" applyBorder="1"/>
    <xf numFmtId="170" fontId="1" fillId="0" borderId="26" xfId="117" applyNumberFormat="1" applyFont="1" applyBorder="1" applyProtection="1"/>
    <xf numFmtId="171" fontId="1" fillId="0" borderId="16" xfId="0" applyNumberFormat="1" applyFont="1" applyBorder="1"/>
    <xf numFmtId="171" fontId="1" fillId="0" borderId="26" xfId="0" applyNumberFormat="1" applyFont="1" applyBorder="1"/>
    <xf numFmtId="171" fontId="1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/>
    <xf numFmtId="0" fontId="39" fillId="0" borderId="28" xfId="0" applyFont="1" applyBorder="1" applyAlignment="1">
      <alignment horizontal="center"/>
    </xf>
    <xf numFmtId="169" fontId="1" fillId="0" borderId="29" xfId="549" applyFont="1" applyBorder="1" applyAlignment="1" applyProtection="1">
      <alignment horizontal="center"/>
    </xf>
    <xf numFmtId="169" fontId="1" fillId="0" borderId="29" xfId="549" quotePrefix="1" applyFont="1" applyBorder="1" applyAlignment="1" applyProtection="1">
      <alignment horizontal="center"/>
    </xf>
    <xf numFmtId="3" fontId="1" fillId="0" borderId="30" xfId="549" applyNumberFormat="1" applyFont="1" applyBorder="1" applyAlignment="1" applyProtection="1">
      <alignment horizontal="center"/>
    </xf>
    <xf numFmtId="170" fontId="1" fillId="0" borderId="13" xfId="117" quotePrefix="1" applyNumberFormat="1" applyFont="1" applyBorder="1" applyAlignment="1" applyProtection="1">
      <alignment horizontal="right"/>
    </xf>
    <xf numFmtId="170" fontId="1" fillId="0" borderId="14" xfId="0" applyNumberFormat="1" applyFont="1" applyBorder="1"/>
    <xf numFmtId="170" fontId="1" fillId="0" borderId="32" xfId="117" quotePrefix="1" applyNumberFormat="1" applyFont="1" applyBorder="1" applyAlignment="1" applyProtection="1">
      <alignment horizontal="right"/>
    </xf>
    <xf numFmtId="170" fontId="1" fillId="0" borderId="20" xfId="0" applyNumberFormat="1" applyFont="1" applyBorder="1"/>
    <xf numFmtId="0" fontId="1" fillId="0" borderId="15" xfId="0" quotePrefix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39" fillId="0" borderId="22" xfId="0" applyFont="1" applyBorder="1"/>
    <xf numFmtId="0" fontId="0" fillId="0" borderId="22" xfId="0" applyBorder="1"/>
    <xf numFmtId="170" fontId="1" fillId="0" borderId="14" xfId="117" applyNumberFormat="1" applyFont="1" applyFill="1" applyBorder="1" applyAlignment="1" applyProtection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5" xfId="0" applyFont="1" applyBorder="1"/>
    <xf numFmtId="0" fontId="1" fillId="0" borderId="6" xfId="0" applyFont="1" applyBorder="1" applyAlignment="1">
      <alignment horizontal="center"/>
    </xf>
    <xf numFmtId="170" fontId="1" fillId="0" borderId="6" xfId="0" applyNumberFormat="1" applyFont="1" applyBorder="1"/>
    <xf numFmtId="0" fontId="58" fillId="0" borderId="0" xfId="0" applyFont="1"/>
    <xf numFmtId="171" fontId="46" fillId="0" borderId="0" xfId="0" quotePrefix="1" applyNumberFormat="1" applyFont="1" applyAlignment="1">
      <alignment horizontal="center"/>
    </xf>
    <xf numFmtId="170" fontId="1" fillId="0" borderId="25" xfId="117" applyNumberFormat="1" applyFont="1" applyBorder="1" applyProtection="1"/>
    <xf numFmtId="170" fontId="54" fillId="0" borderId="25" xfId="117" applyNumberFormat="1" applyFont="1" applyFill="1" applyBorder="1" applyProtection="1"/>
    <xf numFmtId="170" fontId="54" fillId="0" borderId="14" xfId="117" applyNumberFormat="1" applyFont="1" applyFill="1" applyBorder="1" applyProtection="1"/>
    <xf numFmtId="170" fontId="54" fillId="27" borderId="0" xfId="117" applyNumberFormat="1" applyFont="1" applyFill="1" applyAlignment="1" applyProtection="1">
      <alignment vertical="center"/>
    </xf>
    <xf numFmtId="0" fontId="7" fillId="63" borderId="14" xfId="0" applyFont="1" applyFill="1" applyBorder="1" applyAlignment="1" applyProtection="1">
      <alignment horizontal="right"/>
    </xf>
    <xf numFmtId="6" fontId="39" fillId="0" borderId="0" xfId="117" applyNumberFormat="1" applyFont="1" applyAlignment="1" applyProtection="1">
      <alignment vertical="center"/>
    </xf>
    <xf numFmtId="43" fontId="0" fillId="0" borderId="0" xfId="0" applyNumberFormat="1" applyProtection="1"/>
    <xf numFmtId="43" fontId="0" fillId="0" borderId="0" xfId="0" applyNumberFormat="1" applyAlignment="1" applyProtection="1">
      <alignment horizontal="center" vertical="center"/>
    </xf>
    <xf numFmtId="43" fontId="39" fillId="0" borderId="11" xfId="0" applyNumberFormat="1" applyFont="1" applyBorder="1" applyAlignment="1" applyProtection="1">
      <alignment horizontal="centerContinuous"/>
    </xf>
    <xf numFmtId="43" fontId="72" fillId="0" borderId="0" xfId="0" applyNumberFormat="1" applyFont="1" applyFill="1" applyProtection="1"/>
    <xf numFmtId="43" fontId="65" fillId="0" borderId="0" xfId="0" applyNumberFormat="1" applyFont="1" applyFill="1" applyBorder="1" applyAlignment="1" applyProtection="1">
      <alignment horizontal="center"/>
    </xf>
    <xf numFmtId="43" fontId="39" fillId="0" borderId="0" xfId="0" applyNumberFormat="1" applyFont="1" applyProtection="1"/>
    <xf numFmtId="43" fontId="1" fillId="0" borderId="0" xfId="117" applyNumberFormat="1" applyAlignment="1" applyProtection="1">
      <alignment vertical="center"/>
    </xf>
    <xf numFmtId="43" fontId="76" fillId="0" borderId="0" xfId="117" applyNumberFormat="1" applyFont="1" applyAlignment="1" applyProtection="1">
      <alignment vertical="center"/>
    </xf>
    <xf numFmtId="43" fontId="1" fillId="0" borderId="0" xfId="117" applyNumberFormat="1" applyProtection="1"/>
    <xf numFmtId="170" fontId="0" fillId="0" borderId="0" xfId="117" applyNumberFormat="1" applyFont="1" applyAlignment="1" applyProtection="1">
      <alignment horizontal="center" vertical="center"/>
    </xf>
    <xf numFmtId="170" fontId="0" fillId="0" borderId="0" xfId="117" applyNumberFormat="1" applyFont="1" applyAlignment="1" applyProtection="1">
      <alignment horizontal="center"/>
    </xf>
    <xf numFmtId="170" fontId="0" fillId="0" borderId="0" xfId="117" applyNumberFormat="1" applyFont="1" applyAlignment="1" applyProtection="1">
      <alignment wrapText="1"/>
    </xf>
    <xf numFmtId="170" fontId="0" fillId="0" borderId="0" xfId="117" applyNumberFormat="1" applyFont="1" applyBorder="1" applyProtection="1"/>
    <xf numFmtId="180" fontId="7" fillId="0" borderId="14" xfId="117" quotePrefix="1" applyNumberFormat="1" applyFont="1" applyFill="1" applyBorder="1" applyAlignment="1" applyProtection="1">
      <alignment horizontal="right"/>
    </xf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2" xfId="4" builtinId="34" customBuiltin="1"/>
    <cellStyle name="20% - Accent2 2" xfId="5" xr:uid="{00000000-0005-0000-0000-000004000000}"/>
    <cellStyle name="20% - Accent2 2 2" xfId="6" xr:uid="{00000000-0005-0000-0000-000005000000}"/>
    <cellStyle name="20% - Accent3" xfId="7" builtinId="38" customBuiltin="1"/>
    <cellStyle name="20% - Accent3 2" xfId="8" xr:uid="{00000000-0005-0000-0000-000007000000}"/>
    <cellStyle name="20% - Accent3 2 2" xfId="9" xr:uid="{00000000-0005-0000-0000-000008000000}"/>
    <cellStyle name="20% - Accent4" xfId="10" builtinId="42" customBuiltin="1"/>
    <cellStyle name="20% - Accent4 2" xfId="11" xr:uid="{00000000-0005-0000-0000-00000A000000}"/>
    <cellStyle name="20% - Accent4 2 2" xfId="12" xr:uid="{00000000-0005-0000-0000-00000B000000}"/>
    <cellStyle name="20% - Accent5" xfId="13" builtinId="46" customBuiltin="1"/>
    <cellStyle name="20% - Accent5 2" xfId="14" xr:uid="{00000000-0005-0000-0000-00000D000000}"/>
    <cellStyle name="20% - Accent5 2 2" xfId="15" xr:uid="{00000000-0005-0000-0000-00000E000000}"/>
    <cellStyle name="20% - Accent6" xfId="16" builtinId="50" customBuiltin="1"/>
    <cellStyle name="20% - Accent6 2" xfId="17" xr:uid="{00000000-0005-0000-0000-000010000000}"/>
    <cellStyle name="20% - Accent6 2 2" xfId="18" xr:uid="{00000000-0005-0000-0000-000011000000}"/>
    <cellStyle name="40% - Accent1" xfId="19" builtinId="31" customBuiltin="1"/>
    <cellStyle name="40% - Accent1 2" xfId="20" xr:uid="{00000000-0005-0000-0000-000013000000}"/>
    <cellStyle name="40% - Accent1 2 2" xfId="21" xr:uid="{00000000-0005-0000-0000-000014000000}"/>
    <cellStyle name="40% - Accent2" xfId="22" builtinId="35" customBuiltin="1"/>
    <cellStyle name="40% - Accent2 2" xfId="23" xr:uid="{00000000-0005-0000-0000-000016000000}"/>
    <cellStyle name="40% - Accent2 2 2" xfId="24" xr:uid="{00000000-0005-0000-0000-000017000000}"/>
    <cellStyle name="40% - Accent3" xfId="25" builtinId="39" customBuiltin="1"/>
    <cellStyle name="40% - Accent3 2" xfId="26" xr:uid="{00000000-0005-0000-0000-000019000000}"/>
    <cellStyle name="40% - Accent3 2 2" xfId="27" xr:uid="{00000000-0005-0000-0000-00001A000000}"/>
    <cellStyle name="40% - Accent4" xfId="28" builtinId="43" customBuiltin="1"/>
    <cellStyle name="40% - Accent4 2" xfId="29" xr:uid="{00000000-0005-0000-0000-00001C000000}"/>
    <cellStyle name="40% - Accent4 2 2" xfId="30" xr:uid="{00000000-0005-0000-0000-00001D000000}"/>
    <cellStyle name="40% - Accent5" xfId="31" builtinId="47" customBuiltin="1"/>
    <cellStyle name="40% - Accent5 2" xfId="32" xr:uid="{00000000-0005-0000-0000-00001F000000}"/>
    <cellStyle name="40% - Accent5 2 2" xfId="33" xr:uid="{00000000-0005-0000-0000-000020000000}"/>
    <cellStyle name="40% - Accent6" xfId="34" builtinId="51" customBuiltin="1"/>
    <cellStyle name="40% - Accent6 2" xfId="35" xr:uid="{00000000-0005-0000-0000-000022000000}"/>
    <cellStyle name="40% - Accent6 2 2" xfId="36" xr:uid="{00000000-0005-0000-0000-000023000000}"/>
    <cellStyle name="60% - Accent1" xfId="37" builtinId="32" customBuiltin="1"/>
    <cellStyle name="60% - Accent1 2" xfId="38" xr:uid="{00000000-0005-0000-0000-000025000000}"/>
    <cellStyle name="60% - Accent1 2 2" xfId="39" xr:uid="{00000000-0005-0000-0000-000026000000}"/>
    <cellStyle name="60% - Accent2" xfId="40" builtinId="36" customBuiltin="1"/>
    <cellStyle name="60% - Accent2 2" xfId="41" xr:uid="{00000000-0005-0000-0000-000028000000}"/>
    <cellStyle name="60% - Accent2 2 2" xfId="42" xr:uid="{00000000-0005-0000-0000-000029000000}"/>
    <cellStyle name="60% - Accent3" xfId="43" builtinId="40" customBuiltin="1"/>
    <cellStyle name="60% - Accent3 2" xfId="44" xr:uid="{00000000-0005-0000-0000-00002B000000}"/>
    <cellStyle name="60% - Accent3 2 2" xfId="45" xr:uid="{00000000-0005-0000-0000-00002C000000}"/>
    <cellStyle name="60% - Accent4" xfId="46" builtinId="44" customBuiltin="1"/>
    <cellStyle name="60% - Accent4 2" xfId="47" xr:uid="{00000000-0005-0000-0000-00002E000000}"/>
    <cellStyle name="60% - Accent4 2 2" xfId="48" xr:uid="{00000000-0005-0000-0000-00002F000000}"/>
    <cellStyle name="60% - Accent5" xfId="49" builtinId="48" customBuiltin="1"/>
    <cellStyle name="60% - Accent5 2" xfId="50" xr:uid="{00000000-0005-0000-0000-000031000000}"/>
    <cellStyle name="60% - Accent5 2 2" xfId="51" xr:uid="{00000000-0005-0000-0000-000032000000}"/>
    <cellStyle name="60% - Accent6" xfId="52" builtinId="52" customBuiltin="1"/>
    <cellStyle name="60% - Accent6 2" xfId="53" xr:uid="{00000000-0005-0000-0000-000034000000}"/>
    <cellStyle name="60% - Accent6 2 2" xfId="54" xr:uid="{00000000-0005-0000-0000-000035000000}"/>
    <cellStyle name="Accent1" xfId="55" builtinId="29" customBuiltin="1"/>
    <cellStyle name="Accent1 2" xfId="56" xr:uid="{00000000-0005-0000-0000-000037000000}"/>
    <cellStyle name="Accent1 2 2" xfId="57" xr:uid="{00000000-0005-0000-0000-000038000000}"/>
    <cellStyle name="Accent2" xfId="58" builtinId="33" customBuiltin="1"/>
    <cellStyle name="Accent2 2" xfId="59" xr:uid="{00000000-0005-0000-0000-00003A000000}"/>
    <cellStyle name="Accent2 2 2" xfId="60" xr:uid="{00000000-0005-0000-0000-00003B000000}"/>
    <cellStyle name="Accent3" xfId="61" builtinId="37" customBuiltin="1"/>
    <cellStyle name="Accent3 2" xfId="62" xr:uid="{00000000-0005-0000-0000-00003D000000}"/>
    <cellStyle name="Accent3 2 2" xfId="63" xr:uid="{00000000-0005-0000-0000-00003E000000}"/>
    <cellStyle name="Accent4" xfId="64" builtinId="41" customBuiltin="1"/>
    <cellStyle name="Accent4 2" xfId="65" xr:uid="{00000000-0005-0000-0000-000040000000}"/>
    <cellStyle name="Accent4 2 2" xfId="66" xr:uid="{00000000-0005-0000-0000-000041000000}"/>
    <cellStyle name="Accent5" xfId="67" builtinId="45" customBuiltin="1"/>
    <cellStyle name="Accent5 2" xfId="68" xr:uid="{00000000-0005-0000-0000-000043000000}"/>
    <cellStyle name="Accent5 2 2" xfId="69" xr:uid="{00000000-0005-0000-0000-000044000000}"/>
    <cellStyle name="Accent6" xfId="70" builtinId="49" customBuiltin="1"/>
    <cellStyle name="Accent6 2" xfId="71" xr:uid="{00000000-0005-0000-0000-000046000000}"/>
    <cellStyle name="Accent6 2 2" xfId="72" xr:uid="{00000000-0005-0000-0000-000047000000}"/>
    <cellStyle name="Bad" xfId="73" builtinId="27" customBuiltin="1"/>
    <cellStyle name="Bad 2" xfId="74" xr:uid="{00000000-0005-0000-0000-000049000000}"/>
    <cellStyle name="Bad 2 2" xfId="75" xr:uid="{00000000-0005-0000-0000-00004A000000}"/>
    <cellStyle name="C00A" xfId="76" xr:uid="{00000000-0005-0000-0000-00004B000000}"/>
    <cellStyle name="C00B" xfId="77" xr:uid="{00000000-0005-0000-0000-00004C000000}"/>
    <cellStyle name="C00L" xfId="78" xr:uid="{00000000-0005-0000-0000-00004D000000}"/>
    <cellStyle name="C01A" xfId="79" xr:uid="{00000000-0005-0000-0000-00004E000000}"/>
    <cellStyle name="C01B" xfId="80" xr:uid="{00000000-0005-0000-0000-00004F000000}"/>
    <cellStyle name="C01B 2" xfId="81" xr:uid="{00000000-0005-0000-0000-000050000000}"/>
    <cellStyle name="C01H" xfId="82" xr:uid="{00000000-0005-0000-0000-000051000000}"/>
    <cellStyle name="C01L" xfId="83" xr:uid="{00000000-0005-0000-0000-000052000000}"/>
    <cellStyle name="C02A" xfId="84" xr:uid="{00000000-0005-0000-0000-000053000000}"/>
    <cellStyle name="C02B" xfId="85" xr:uid="{00000000-0005-0000-0000-000054000000}"/>
    <cellStyle name="C02B 2" xfId="86" xr:uid="{00000000-0005-0000-0000-000055000000}"/>
    <cellStyle name="C02H" xfId="87" xr:uid="{00000000-0005-0000-0000-000056000000}"/>
    <cellStyle name="C02L" xfId="88" xr:uid="{00000000-0005-0000-0000-000057000000}"/>
    <cellStyle name="C03A" xfId="89" xr:uid="{00000000-0005-0000-0000-000058000000}"/>
    <cellStyle name="C03B" xfId="90" xr:uid="{00000000-0005-0000-0000-000059000000}"/>
    <cellStyle name="C03H" xfId="91" xr:uid="{00000000-0005-0000-0000-00005A000000}"/>
    <cellStyle name="C03L" xfId="92" xr:uid="{00000000-0005-0000-0000-00005B000000}"/>
    <cellStyle name="C04A" xfId="93" xr:uid="{00000000-0005-0000-0000-00005C000000}"/>
    <cellStyle name="C04A 2" xfId="94" xr:uid="{00000000-0005-0000-0000-00005D000000}"/>
    <cellStyle name="C04B" xfId="95" xr:uid="{00000000-0005-0000-0000-00005E000000}"/>
    <cellStyle name="C04H" xfId="96" xr:uid="{00000000-0005-0000-0000-00005F000000}"/>
    <cellStyle name="C04L" xfId="97" xr:uid="{00000000-0005-0000-0000-000060000000}"/>
    <cellStyle name="C05A" xfId="98" xr:uid="{00000000-0005-0000-0000-000061000000}"/>
    <cellStyle name="C05B" xfId="99" xr:uid="{00000000-0005-0000-0000-000062000000}"/>
    <cellStyle name="C05H" xfId="100" xr:uid="{00000000-0005-0000-0000-000063000000}"/>
    <cellStyle name="C05L" xfId="101" xr:uid="{00000000-0005-0000-0000-000064000000}"/>
    <cellStyle name="C05L 2" xfId="102" xr:uid="{00000000-0005-0000-0000-000065000000}"/>
    <cellStyle name="C06A" xfId="103" xr:uid="{00000000-0005-0000-0000-000066000000}"/>
    <cellStyle name="C06B" xfId="104" xr:uid="{00000000-0005-0000-0000-000067000000}"/>
    <cellStyle name="C06H" xfId="105" xr:uid="{00000000-0005-0000-0000-000068000000}"/>
    <cellStyle name="C06L" xfId="106" xr:uid="{00000000-0005-0000-0000-000069000000}"/>
    <cellStyle name="C07A" xfId="107" xr:uid="{00000000-0005-0000-0000-00006A000000}"/>
    <cellStyle name="C07B" xfId="108" xr:uid="{00000000-0005-0000-0000-00006B000000}"/>
    <cellStyle name="C07H" xfId="109" xr:uid="{00000000-0005-0000-0000-00006C000000}"/>
    <cellStyle name="C07L" xfId="110" xr:uid="{00000000-0005-0000-0000-00006D000000}"/>
    <cellStyle name="Calculation" xfId="111" builtinId="22" customBuiltin="1"/>
    <cellStyle name="Calculation 2" xfId="112" xr:uid="{00000000-0005-0000-0000-00006F000000}"/>
    <cellStyle name="Calculation 2 2" xfId="113" xr:uid="{00000000-0005-0000-0000-000070000000}"/>
    <cellStyle name="Check Cell" xfId="114" builtinId="23" customBuiltin="1"/>
    <cellStyle name="Check Cell 2" xfId="115" xr:uid="{00000000-0005-0000-0000-000072000000}"/>
    <cellStyle name="Check Cell 2 2" xfId="116" xr:uid="{00000000-0005-0000-0000-000073000000}"/>
    <cellStyle name="Comma" xfId="117" builtinId="3"/>
    <cellStyle name="Comma [0] 2" xfId="118" xr:uid="{00000000-0005-0000-0000-000075000000}"/>
    <cellStyle name="Comma [0] 2 2" xfId="119" xr:uid="{00000000-0005-0000-0000-000076000000}"/>
    <cellStyle name="Comma 10" xfId="120" xr:uid="{00000000-0005-0000-0000-000077000000}"/>
    <cellStyle name="Comma 11" xfId="121" xr:uid="{00000000-0005-0000-0000-000078000000}"/>
    <cellStyle name="Comma 12" xfId="122" xr:uid="{00000000-0005-0000-0000-000079000000}"/>
    <cellStyle name="Comma 13" xfId="123" xr:uid="{00000000-0005-0000-0000-00007A000000}"/>
    <cellStyle name="Comma 14" xfId="124" xr:uid="{00000000-0005-0000-0000-00007B000000}"/>
    <cellStyle name="Comma 15" xfId="125" xr:uid="{00000000-0005-0000-0000-00007C000000}"/>
    <cellStyle name="Comma 16" xfId="126" xr:uid="{00000000-0005-0000-0000-00007D000000}"/>
    <cellStyle name="Comma 17" xfId="127" xr:uid="{00000000-0005-0000-0000-00007E000000}"/>
    <cellStyle name="Comma 18" xfId="128" xr:uid="{00000000-0005-0000-0000-00007F000000}"/>
    <cellStyle name="Comma 19" xfId="129" xr:uid="{00000000-0005-0000-0000-000080000000}"/>
    <cellStyle name="Comma 2" xfId="130" xr:uid="{00000000-0005-0000-0000-000081000000}"/>
    <cellStyle name="Comma 2 2" xfId="131" xr:uid="{00000000-0005-0000-0000-000082000000}"/>
    <cellStyle name="Comma 2 2 2" xfId="132" xr:uid="{00000000-0005-0000-0000-000083000000}"/>
    <cellStyle name="Comma 2 3" xfId="133" xr:uid="{00000000-0005-0000-0000-000084000000}"/>
    <cellStyle name="Comma 2 3 2" xfId="134" xr:uid="{00000000-0005-0000-0000-000085000000}"/>
    <cellStyle name="Comma 2 3 3" xfId="135" xr:uid="{00000000-0005-0000-0000-000086000000}"/>
    <cellStyle name="Comma 2 3 4" xfId="136" xr:uid="{00000000-0005-0000-0000-000087000000}"/>
    <cellStyle name="Comma 2 4" xfId="137" xr:uid="{00000000-0005-0000-0000-000088000000}"/>
    <cellStyle name="Comma 20" xfId="138" xr:uid="{00000000-0005-0000-0000-000089000000}"/>
    <cellStyle name="Comma 21" xfId="139" xr:uid="{00000000-0005-0000-0000-00008A000000}"/>
    <cellStyle name="Comma 22" xfId="140" xr:uid="{00000000-0005-0000-0000-00008B000000}"/>
    <cellStyle name="Comma 23" xfId="141" xr:uid="{00000000-0005-0000-0000-00008C000000}"/>
    <cellStyle name="Comma 24" xfId="142" xr:uid="{00000000-0005-0000-0000-00008D000000}"/>
    <cellStyle name="Comma 25" xfId="143" xr:uid="{00000000-0005-0000-0000-00008E000000}"/>
    <cellStyle name="Comma 25 2" xfId="144" xr:uid="{00000000-0005-0000-0000-00008F000000}"/>
    <cellStyle name="Comma 26" xfId="145" xr:uid="{00000000-0005-0000-0000-000090000000}"/>
    <cellStyle name="Comma 26 2" xfId="146" xr:uid="{00000000-0005-0000-0000-000091000000}"/>
    <cellStyle name="Comma 27" xfId="147" xr:uid="{00000000-0005-0000-0000-000092000000}"/>
    <cellStyle name="Comma 27 2" xfId="148" xr:uid="{00000000-0005-0000-0000-000093000000}"/>
    <cellStyle name="Comma 28" xfId="149" xr:uid="{00000000-0005-0000-0000-000094000000}"/>
    <cellStyle name="Comma 28 2" xfId="150" xr:uid="{00000000-0005-0000-0000-000095000000}"/>
    <cellStyle name="Comma 29" xfId="151" xr:uid="{00000000-0005-0000-0000-000096000000}"/>
    <cellStyle name="Comma 29 2" xfId="152" xr:uid="{00000000-0005-0000-0000-000097000000}"/>
    <cellStyle name="Comma 3" xfId="153" xr:uid="{00000000-0005-0000-0000-000098000000}"/>
    <cellStyle name="Comma 3 2" xfId="154" xr:uid="{00000000-0005-0000-0000-000099000000}"/>
    <cellStyle name="Comma 3 2 2" xfId="155" xr:uid="{00000000-0005-0000-0000-00009A000000}"/>
    <cellStyle name="Comma 3 3" xfId="156" xr:uid="{00000000-0005-0000-0000-00009B000000}"/>
    <cellStyle name="Comma 3 3 2" xfId="157" xr:uid="{00000000-0005-0000-0000-00009C000000}"/>
    <cellStyle name="Comma 3 3 2 2" xfId="158" xr:uid="{00000000-0005-0000-0000-00009D000000}"/>
    <cellStyle name="Comma 3 3 2 3" xfId="159" xr:uid="{00000000-0005-0000-0000-00009E000000}"/>
    <cellStyle name="Comma 3 3 3" xfId="160" xr:uid="{00000000-0005-0000-0000-00009F000000}"/>
    <cellStyle name="Comma 3 3 3 2" xfId="161" xr:uid="{00000000-0005-0000-0000-0000A0000000}"/>
    <cellStyle name="Comma 3 3 3 2 2" xfId="162" xr:uid="{00000000-0005-0000-0000-0000A1000000}"/>
    <cellStyle name="Comma 3 3 3 2 3" xfId="163" xr:uid="{00000000-0005-0000-0000-0000A2000000}"/>
    <cellStyle name="Comma 3 3 3 2 4" xfId="164" xr:uid="{00000000-0005-0000-0000-0000A3000000}"/>
    <cellStyle name="Comma 3 3 3 3" xfId="165" xr:uid="{00000000-0005-0000-0000-0000A4000000}"/>
    <cellStyle name="Comma 3 3 4" xfId="166" xr:uid="{00000000-0005-0000-0000-0000A5000000}"/>
    <cellStyle name="Comma 3 3 5" xfId="167" xr:uid="{00000000-0005-0000-0000-0000A6000000}"/>
    <cellStyle name="Comma 3 3 5 2" xfId="168" xr:uid="{00000000-0005-0000-0000-0000A7000000}"/>
    <cellStyle name="Comma 3 3 5 3" xfId="169" xr:uid="{00000000-0005-0000-0000-0000A8000000}"/>
    <cellStyle name="Comma 3 3 5 4" xfId="170" xr:uid="{00000000-0005-0000-0000-0000A9000000}"/>
    <cellStyle name="Comma 3 4" xfId="171" xr:uid="{00000000-0005-0000-0000-0000AA000000}"/>
    <cellStyle name="Comma 3 4 2" xfId="172" xr:uid="{00000000-0005-0000-0000-0000AB000000}"/>
    <cellStyle name="Comma 3 4 3" xfId="173" xr:uid="{00000000-0005-0000-0000-0000AC000000}"/>
    <cellStyle name="Comma 3 4 4" xfId="174" xr:uid="{00000000-0005-0000-0000-0000AD000000}"/>
    <cellStyle name="Comma 3 4 4 2" xfId="175" xr:uid="{00000000-0005-0000-0000-0000AE000000}"/>
    <cellStyle name="Comma 3 4 4 3" xfId="176" xr:uid="{00000000-0005-0000-0000-0000AF000000}"/>
    <cellStyle name="Comma 3 4 4 4" xfId="177" xr:uid="{00000000-0005-0000-0000-0000B0000000}"/>
    <cellStyle name="Comma 3 4 5" xfId="178" xr:uid="{00000000-0005-0000-0000-0000B1000000}"/>
    <cellStyle name="Comma 3 5" xfId="179" xr:uid="{00000000-0005-0000-0000-0000B2000000}"/>
    <cellStyle name="Comma 3 5 2" xfId="180" xr:uid="{00000000-0005-0000-0000-0000B3000000}"/>
    <cellStyle name="Comma 3 6" xfId="181" xr:uid="{00000000-0005-0000-0000-0000B4000000}"/>
    <cellStyle name="Comma 3 7" xfId="182" xr:uid="{00000000-0005-0000-0000-0000B5000000}"/>
    <cellStyle name="Comma 3 8" xfId="183" xr:uid="{00000000-0005-0000-0000-0000B6000000}"/>
    <cellStyle name="Comma 30" xfId="184" xr:uid="{00000000-0005-0000-0000-0000B7000000}"/>
    <cellStyle name="Comma 31" xfId="185" xr:uid="{00000000-0005-0000-0000-0000B8000000}"/>
    <cellStyle name="Comma 32" xfId="186" xr:uid="{00000000-0005-0000-0000-0000B9000000}"/>
    <cellStyle name="Comma 33" xfId="187" xr:uid="{00000000-0005-0000-0000-0000BA000000}"/>
    <cellStyle name="Comma 34" xfId="188" xr:uid="{00000000-0005-0000-0000-0000BB000000}"/>
    <cellStyle name="Comma 35" xfId="189" xr:uid="{00000000-0005-0000-0000-0000BC000000}"/>
    <cellStyle name="Comma 36" xfId="190" xr:uid="{00000000-0005-0000-0000-0000BD000000}"/>
    <cellStyle name="Comma 37" xfId="191" xr:uid="{00000000-0005-0000-0000-0000BE000000}"/>
    <cellStyle name="Comma 38" xfId="192" xr:uid="{00000000-0005-0000-0000-0000BF000000}"/>
    <cellStyle name="Comma 39" xfId="193" xr:uid="{00000000-0005-0000-0000-0000C0000000}"/>
    <cellStyle name="Comma 4" xfId="194" xr:uid="{00000000-0005-0000-0000-0000C1000000}"/>
    <cellStyle name="Comma 4 2" xfId="195" xr:uid="{00000000-0005-0000-0000-0000C2000000}"/>
    <cellStyle name="Comma 4 2 2" xfId="196" xr:uid="{00000000-0005-0000-0000-0000C3000000}"/>
    <cellStyle name="Comma 4 2 2 2" xfId="197" xr:uid="{00000000-0005-0000-0000-0000C4000000}"/>
    <cellStyle name="Comma 4 2 2 3" xfId="198" xr:uid="{00000000-0005-0000-0000-0000C5000000}"/>
    <cellStyle name="Comma 4 2 2 4" xfId="199" xr:uid="{00000000-0005-0000-0000-0000C6000000}"/>
    <cellStyle name="Comma 4 2 3" xfId="200" xr:uid="{00000000-0005-0000-0000-0000C7000000}"/>
    <cellStyle name="Comma 4 2 3 2" xfId="201" xr:uid="{00000000-0005-0000-0000-0000C8000000}"/>
    <cellStyle name="Comma 4 2 3 2 2" xfId="202" xr:uid="{00000000-0005-0000-0000-0000C9000000}"/>
    <cellStyle name="Comma 4 2 3 3" xfId="203" xr:uid="{00000000-0005-0000-0000-0000CA000000}"/>
    <cellStyle name="Comma 4 2 3 3 2" xfId="204" xr:uid="{00000000-0005-0000-0000-0000CB000000}"/>
    <cellStyle name="Comma 4 2 3 4" xfId="205" xr:uid="{00000000-0005-0000-0000-0000CC000000}"/>
    <cellStyle name="Comma 4 2 4" xfId="206" xr:uid="{00000000-0005-0000-0000-0000CD000000}"/>
    <cellStyle name="Comma 4 2 4 2" xfId="207" xr:uid="{00000000-0005-0000-0000-0000CE000000}"/>
    <cellStyle name="Comma 4 2 4 3" xfId="208" xr:uid="{00000000-0005-0000-0000-0000CF000000}"/>
    <cellStyle name="Comma 4 2 4 4" xfId="209" xr:uid="{00000000-0005-0000-0000-0000D0000000}"/>
    <cellStyle name="Comma 4 2 5" xfId="210" xr:uid="{00000000-0005-0000-0000-0000D1000000}"/>
    <cellStyle name="Comma 4 3" xfId="211" xr:uid="{00000000-0005-0000-0000-0000D2000000}"/>
    <cellStyle name="Comma 4 3 2" xfId="212" xr:uid="{00000000-0005-0000-0000-0000D3000000}"/>
    <cellStyle name="Comma 4 3 2 2" xfId="213" xr:uid="{00000000-0005-0000-0000-0000D4000000}"/>
    <cellStyle name="Comma 4 3 2 2 2" xfId="214" xr:uid="{00000000-0005-0000-0000-0000D5000000}"/>
    <cellStyle name="Comma 4 3 2 3" xfId="215" xr:uid="{00000000-0005-0000-0000-0000D6000000}"/>
    <cellStyle name="Comma 4 3 2 3 2" xfId="216" xr:uid="{00000000-0005-0000-0000-0000D7000000}"/>
    <cellStyle name="Comma 4 3 2 4" xfId="217" xr:uid="{00000000-0005-0000-0000-0000D8000000}"/>
    <cellStyle name="Comma 4 3 3" xfId="218" xr:uid="{00000000-0005-0000-0000-0000D9000000}"/>
    <cellStyle name="Comma 4 3 4" xfId="219" xr:uid="{00000000-0005-0000-0000-0000DA000000}"/>
    <cellStyle name="Comma 4 3 4 2" xfId="220" xr:uid="{00000000-0005-0000-0000-0000DB000000}"/>
    <cellStyle name="Comma 4 3 4 3" xfId="221" xr:uid="{00000000-0005-0000-0000-0000DC000000}"/>
    <cellStyle name="Comma 4 3 5" xfId="222" xr:uid="{00000000-0005-0000-0000-0000DD000000}"/>
    <cellStyle name="Comma 4 3 5 2" xfId="223" xr:uid="{00000000-0005-0000-0000-0000DE000000}"/>
    <cellStyle name="Comma 4 3 6" xfId="224" xr:uid="{00000000-0005-0000-0000-0000DF000000}"/>
    <cellStyle name="Comma 4 3 6 2" xfId="225" xr:uid="{00000000-0005-0000-0000-0000E0000000}"/>
    <cellStyle name="Comma 4 4" xfId="226" xr:uid="{00000000-0005-0000-0000-0000E1000000}"/>
    <cellStyle name="Comma 4 4 2" xfId="227" xr:uid="{00000000-0005-0000-0000-0000E2000000}"/>
    <cellStyle name="Comma 4 4 3" xfId="228" xr:uid="{00000000-0005-0000-0000-0000E3000000}"/>
    <cellStyle name="Comma 4 4 4" xfId="229" xr:uid="{00000000-0005-0000-0000-0000E4000000}"/>
    <cellStyle name="Comma 4 5" xfId="230" xr:uid="{00000000-0005-0000-0000-0000E5000000}"/>
    <cellStyle name="Comma 4 5 2" xfId="231" xr:uid="{00000000-0005-0000-0000-0000E6000000}"/>
    <cellStyle name="Comma 4 6" xfId="232" xr:uid="{00000000-0005-0000-0000-0000E7000000}"/>
    <cellStyle name="Comma 40" xfId="233" xr:uid="{00000000-0005-0000-0000-0000E8000000}"/>
    <cellStyle name="Comma 41" xfId="234" xr:uid="{00000000-0005-0000-0000-0000E9000000}"/>
    <cellStyle name="Comma 42" xfId="235" xr:uid="{00000000-0005-0000-0000-0000EA000000}"/>
    <cellStyle name="Comma 43" xfId="236" xr:uid="{00000000-0005-0000-0000-0000EB000000}"/>
    <cellStyle name="Comma 44" xfId="237" xr:uid="{00000000-0005-0000-0000-0000EC000000}"/>
    <cellStyle name="Comma 45" xfId="238" xr:uid="{00000000-0005-0000-0000-0000ED000000}"/>
    <cellStyle name="Comma 46" xfId="239" xr:uid="{00000000-0005-0000-0000-0000EE000000}"/>
    <cellStyle name="Comma 47" xfId="240" xr:uid="{00000000-0005-0000-0000-0000EF000000}"/>
    <cellStyle name="Comma 48" xfId="241" xr:uid="{00000000-0005-0000-0000-0000F0000000}"/>
    <cellStyle name="Comma 49" xfId="242" xr:uid="{00000000-0005-0000-0000-0000F1000000}"/>
    <cellStyle name="Comma 5" xfId="243" xr:uid="{00000000-0005-0000-0000-0000F2000000}"/>
    <cellStyle name="Comma 5 2" xfId="244" xr:uid="{00000000-0005-0000-0000-0000F3000000}"/>
    <cellStyle name="Comma 5 2 2" xfId="245" xr:uid="{00000000-0005-0000-0000-0000F4000000}"/>
    <cellStyle name="Comma 5 2 3" xfId="246" xr:uid="{00000000-0005-0000-0000-0000F5000000}"/>
    <cellStyle name="Comma 5 3" xfId="247" xr:uid="{00000000-0005-0000-0000-0000F6000000}"/>
    <cellStyle name="Comma 50" xfId="248" xr:uid="{00000000-0005-0000-0000-0000F7000000}"/>
    <cellStyle name="Comma 51" xfId="249" xr:uid="{00000000-0005-0000-0000-0000F8000000}"/>
    <cellStyle name="Comma 52" xfId="250" xr:uid="{00000000-0005-0000-0000-0000F9000000}"/>
    <cellStyle name="Comma 52 2" xfId="251" xr:uid="{00000000-0005-0000-0000-0000FA000000}"/>
    <cellStyle name="Comma 53" xfId="252" xr:uid="{00000000-0005-0000-0000-0000FB000000}"/>
    <cellStyle name="Comma 54" xfId="253" xr:uid="{00000000-0005-0000-0000-0000FC000000}"/>
    <cellStyle name="Comma 55" xfId="254" xr:uid="{00000000-0005-0000-0000-0000FD000000}"/>
    <cellStyle name="Comma 56" xfId="255" xr:uid="{00000000-0005-0000-0000-0000FE000000}"/>
    <cellStyle name="Comma 57" xfId="256" xr:uid="{00000000-0005-0000-0000-0000FF000000}"/>
    <cellStyle name="Comma 57 2" xfId="257" xr:uid="{00000000-0005-0000-0000-000000010000}"/>
    <cellStyle name="Comma 57 3" xfId="258" xr:uid="{00000000-0005-0000-0000-000001010000}"/>
    <cellStyle name="Comma 57 4" xfId="259" xr:uid="{00000000-0005-0000-0000-000002010000}"/>
    <cellStyle name="Comma 58" xfId="260" xr:uid="{00000000-0005-0000-0000-000003010000}"/>
    <cellStyle name="Comma 58 2" xfId="261" xr:uid="{00000000-0005-0000-0000-000004010000}"/>
    <cellStyle name="Comma 58 3" xfId="262" xr:uid="{00000000-0005-0000-0000-000005010000}"/>
    <cellStyle name="Comma 58 4" xfId="263" xr:uid="{00000000-0005-0000-0000-000006010000}"/>
    <cellStyle name="Comma 59" xfId="264" xr:uid="{00000000-0005-0000-0000-000007010000}"/>
    <cellStyle name="Comma 59 2" xfId="265" xr:uid="{00000000-0005-0000-0000-000008010000}"/>
    <cellStyle name="Comma 59 3" xfId="266" xr:uid="{00000000-0005-0000-0000-000009010000}"/>
    <cellStyle name="Comma 59 4" xfId="267" xr:uid="{00000000-0005-0000-0000-00000A010000}"/>
    <cellStyle name="Comma 6" xfId="268" xr:uid="{00000000-0005-0000-0000-00000B010000}"/>
    <cellStyle name="Comma 6 2" xfId="269" xr:uid="{00000000-0005-0000-0000-00000C010000}"/>
    <cellStyle name="Comma 6 3" xfId="270" xr:uid="{00000000-0005-0000-0000-00000D010000}"/>
    <cellStyle name="Comma 6 4" xfId="271" xr:uid="{00000000-0005-0000-0000-00000E010000}"/>
    <cellStyle name="Comma 6 4 2" xfId="272" xr:uid="{00000000-0005-0000-0000-00000F010000}"/>
    <cellStyle name="Comma 6 4 3" xfId="273" xr:uid="{00000000-0005-0000-0000-000010010000}"/>
    <cellStyle name="Comma 6 4 4" xfId="274" xr:uid="{00000000-0005-0000-0000-000011010000}"/>
    <cellStyle name="Comma 6 5" xfId="275" xr:uid="{00000000-0005-0000-0000-000012010000}"/>
    <cellStyle name="Comma 60" xfId="276" xr:uid="{00000000-0005-0000-0000-000013010000}"/>
    <cellStyle name="Comma 60 2" xfId="277" xr:uid="{00000000-0005-0000-0000-000014010000}"/>
    <cellStyle name="Comma 60 3" xfId="278" xr:uid="{00000000-0005-0000-0000-000015010000}"/>
    <cellStyle name="Comma 60 4" xfId="279" xr:uid="{00000000-0005-0000-0000-000016010000}"/>
    <cellStyle name="Comma 61" xfId="280" xr:uid="{00000000-0005-0000-0000-000017010000}"/>
    <cellStyle name="Comma 61 2" xfId="281" xr:uid="{00000000-0005-0000-0000-000018010000}"/>
    <cellStyle name="Comma 61 3" xfId="282" xr:uid="{00000000-0005-0000-0000-000019010000}"/>
    <cellStyle name="Comma 61 4" xfId="283" xr:uid="{00000000-0005-0000-0000-00001A010000}"/>
    <cellStyle name="Comma 62" xfId="284" xr:uid="{00000000-0005-0000-0000-00001B010000}"/>
    <cellStyle name="Comma 62 2" xfId="285" xr:uid="{00000000-0005-0000-0000-00001C010000}"/>
    <cellStyle name="Comma 62 3" xfId="286" xr:uid="{00000000-0005-0000-0000-00001D010000}"/>
    <cellStyle name="Comma 63" xfId="287" xr:uid="{00000000-0005-0000-0000-00001E010000}"/>
    <cellStyle name="Comma 63 2" xfId="288" xr:uid="{00000000-0005-0000-0000-00001F010000}"/>
    <cellStyle name="Comma 63 3" xfId="289" xr:uid="{00000000-0005-0000-0000-000020010000}"/>
    <cellStyle name="Comma 64" xfId="290" xr:uid="{00000000-0005-0000-0000-000021010000}"/>
    <cellStyle name="Comma 64 2" xfId="291" xr:uid="{00000000-0005-0000-0000-000022010000}"/>
    <cellStyle name="Comma 64 3" xfId="292" xr:uid="{00000000-0005-0000-0000-000023010000}"/>
    <cellStyle name="Comma 65" xfId="293" xr:uid="{00000000-0005-0000-0000-000024010000}"/>
    <cellStyle name="Comma 65 2" xfId="294" xr:uid="{00000000-0005-0000-0000-000025010000}"/>
    <cellStyle name="Comma 65 3" xfId="295" xr:uid="{00000000-0005-0000-0000-000026010000}"/>
    <cellStyle name="Comma 66" xfId="296" xr:uid="{00000000-0005-0000-0000-000027010000}"/>
    <cellStyle name="Comma 66 2" xfId="297" xr:uid="{00000000-0005-0000-0000-000028010000}"/>
    <cellStyle name="Comma 66 3" xfId="298" xr:uid="{00000000-0005-0000-0000-000029010000}"/>
    <cellStyle name="Comma 67" xfId="299" xr:uid="{00000000-0005-0000-0000-00002A010000}"/>
    <cellStyle name="Comma 67 2" xfId="300" xr:uid="{00000000-0005-0000-0000-00002B010000}"/>
    <cellStyle name="Comma 67 3" xfId="301" xr:uid="{00000000-0005-0000-0000-00002C010000}"/>
    <cellStyle name="Comma 68" xfId="302" xr:uid="{00000000-0005-0000-0000-00002D010000}"/>
    <cellStyle name="Comma 68 2" xfId="303" xr:uid="{00000000-0005-0000-0000-00002E010000}"/>
    <cellStyle name="Comma 68 3" xfId="304" xr:uid="{00000000-0005-0000-0000-00002F010000}"/>
    <cellStyle name="Comma 69" xfId="305" xr:uid="{00000000-0005-0000-0000-000030010000}"/>
    <cellStyle name="Comma 69 2" xfId="306" xr:uid="{00000000-0005-0000-0000-000031010000}"/>
    <cellStyle name="Comma 7" xfId="307" xr:uid="{00000000-0005-0000-0000-000032010000}"/>
    <cellStyle name="Comma 7 2" xfId="308" xr:uid="{00000000-0005-0000-0000-000033010000}"/>
    <cellStyle name="Comma 70" xfId="309" xr:uid="{00000000-0005-0000-0000-000034010000}"/>
    <cellStyle name="Comma 70 2" xfId="310" xr:uid="{00000000-0005-0000-0000-000035010000}"/>
    <cellStyle name="Comma 71" xfId="311" xr:uid="{00000000-0005-0000-0000-000036010000}"/>
    <cellStyle name="Comma 71 2" xfId="312" xr:uid="{00000000-0005-0000-0000-000037010000}"/>
    <cellStyle name="Comma 72" xfId="313" xr:uid="{00000000-0005-0000-0000-000038010000}"/>
    <cellStyle name="Comma 73" xfId="314" xr:uid="{00000000-0005-0000-0000-000039010000}"/>
    <cellStyle name="Comma 74" xfId="315" xr:uid="{00000000-0005-0000-0000-00003A010000}"/>
    <cellStyle name="Comma 75" xfId="316" xr:uid="{00000000-0005-0000-0000-00003B010000}"/>
    <cellStyle name="Comma 76" xfId="317" xr:uid="{00000000-0005-0000-0000-00003C010000}"/>
    <cellStyle name="Comma 8" xfId="318" xr:uid="{00000000-0005-0000-0000-00003D010000}"/>
    <cellStyle name="Comma 9" xfId="319" xr:uid="{00000000-0005-0000-0000-00003E010000}"/>
    <cellStyle name="Comma0" xfId="320" xr:uid="{00000000-0005-0000-0000-00003F010000}"/>
    <cellStyle name="Comma0 2" xfId="321" xr:uid="{00000000-0005-0000-0000-000040010000}"/>
    <cellStyle name="Comma0 2 2" xfId="322" xr:uid="{00000000-0005-0000-0000-000041010000}"/>
    <cellStyle name="Comma0 2 3" xfId="323" xr:uid="{00000000-0005-0000-0000-000042010000}"/>
    <cellStyle name="Comma0 2 4" xfId="324" xr:uid="{00000000-0005-0000-0000-000043010000}"/>
    <cellStyle name="Comma0 2 5" xfId="325" xr:uid="{00000000-0005-0000-0000-000044010000}"/>
    <cellStyle name="Comma0 3" xfId="326" xr:uid="{00000000-0005-0000-0000-000045010000}"/>
    <cellStyle name="Currency" xfId="327" builtinId="4"/>
    <cellStyle name="Currency 2" xfId="328" xr:uid="{00000000-0005-0000-0000-000047010000}"/>
    <cellStyle name="Currency 2 2" xfId="329" xr:uid="{00000000-0005-0000-0000-000048010000}"/>
    <cellStyle name="Currency 2 2 2" xfId="330" xr:uid="{00000000-0005-0000-0000-000049010000}"/>
    <cellStyle name="Currency 2 3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3 2 2" xfId="334" xr:uid="{00000000-0005-0000-0000-00004D010000}"/>
    <cellStyle name="Currency 3 3" xfId="335" xr:uid="{00000000-0005-0000-0000-00004E010000}"/>
    <cellStyle name="Currency 3 3 2" xfId="336" xr:uid="{00000000-0005-0000-0000-00004F010000}"/>
    <cellStyle name="Currency 3 3 2 2" xfId="337" xr:uid="{00000000-0005-0000-0000-000050010000}"/>
    <cellStyle name="Currency 3 3 2 3" xfId="338" xr:uid="{00000000-0005-0000-0000-000051010000}"/>
    <cellStyle name="Currency 3 3 3" xfId="339" xr:uid="{00000000-0005-0000-0000-000052010000}"/>
    <cellStyle name="Currency 3 3 3 2" xfId="340" xr:uid="{00000000-0005-0000-0000-000053010000}"/>
    <cellStyle name="Currency 3 3 3 2 2" xfId="341" xr:uid="{00000000-0005-0000-0000-000054010000}"/>
    <cellStyle name="Currency 3 3 3 2 3" xfId="342" xr:uid="{00000000-0005-0000-0000-000055010000}"/>
    <cellStyle name="Currency 3 3 3 2 4" xfId="343" xr:uid="{00000000-0005-0000-0000-000056010000}"/>
    <cellStyle name="Currency 3 3 3 3" xfId="344" xr:uid="{00000000-0005-0000-0000-000057010000}"/>
    <cellStyle name="Currency 3 3 4" xfId="345" xr:uid="{00000000-0005-0000-0000-000058010000}"/>
    <cellStyle name="Currency 3 3 5" xfId="346" xr:uid="{00000000-0005-0000-0000-000059010000}"/>
    <cellStyle name="Currency 3 3 5 2" xfId="347" xr:uid="{00000000-0005-0000-0000-00005A010000}"/>
    <cellStyle name="Currency 3 3 5 3" xfId="348" xr:uid="{00000000-0005-0000-0000-00005B010000}"/>
    <cellStyle name="Currency 3 3 5 4" xfId="349" xr:uid="{00000000-0005-0000-0000-00005C010000}"/>
    <cellStyle name="Currency 3 4" xfId="350" xr:uid="{00000000-0005-0000-0000-00005D010000}"/>
    <cellStyle name="Currency 3 4 2" xfId="351" xr:uid="{00000000-0005-0000-0000-00005E010000}"/>
    <cellStyle name="Currency 3 4 3" xfId="352" xr:uid="{00000000-0005-0000-0000-00005F010000}"/>
    <cellStyle name="Currency 3 4 4" xfId="353" xr:uid="{00000000-0005-0000-0000-000060010000}"/>
    <cellStyle name="Currency 3 4 4 2" xfId="354" xr:uid="{00000000-0005-0000-0000-000061010000}"/>
    <cellStyle name="Currency 3 4 4 3" xfId="355" xr:uid="{00000000-0005-0000-0000-000062010000}"/>
    <cellStyle name="Currency 3 4 4 4" xfId="356" xr:uid="{00000000-0005-0000-0000-000063010000}"/>
    <cellStyle name="Currency 3 4 5" xfId="357" xr:uid="{00000000-0005-0000-0000-000064010000}"/>
    <cellStyle name="Currency 3 5" xfId="358" xr:uid="{00000000-0005-0000-0000-000065010000}"/>
    <cellStyle name="Currency 3 5 2" xfId="359" xr:uid="{00000000-0005-0000-0000-000066010000}"/>
    <cellStyle name="Currency 3 6" xfId="360" xr:uid="{00000000-0005-0000-0000-000067010000}"/>
    <cellStyle name="Currency 3 7" xfId="361" xr:uid="{00000000-0005-0000-0000-000068010000}"/>
    <cellStyle name="Currency 3 8" xfId="362" xr:uid="{00000000-0005-0000-0000-000069010000}"/>
    <cellStyle name="Currency 4" xfId="363" xr:uid="{00000000-0005-0000-0000-00006A010000}"/>
    <cellStyle name="Currency 4 10" xfId="364" xr:uid="{00000000-0005-0000-0000-00006B010000}"/>
    <cellStyle name="Currency 4 10 2" xfId="365" xr:uid="{00000000-0005-0000-0000-00006C010000}"/>
    <cellStyle name="Currency 4 10 2 2" xfId="366" xr:uid="{00000000-0005-0000-0000-00006D010000}"/>
    <cellStyle name="Currency 4 10 2 2 2" xfId="367" xr:uid="{00000000-0005-0000-0000-00006E010000}"/>
    <cellStyle name="Currency 4 10 2 3" xfId="368" xr:uid="{00000000-0005-0000-0000-00006F010000}"/>
    <cellStyle name="Currency 4 10 2 3 2" xfId="369" xr:uid="{00000000-0005-0000-0000-000070010000}"/>
    <cellStyle name="Currency 4 10 2 4" xfId="370" xr:uid="{00000000-0005-0000-0000-000071010000}"/>
    <cellStyle name="Currency 4 10 3" xfId="371" xr:uid="{00000000-0005-0000-0000-000072010000}"/>
    <cellStyle name="Currency 4 10 3 2" xfId="372" xr:uid="{00000000-0005-0000-0000-000073010000}"/>
    <cellStyle name="Currency 4 10 4" xfId="373" xr:uid="{00000000-0005-0000-0000-000074010000}"/>
    <cellStyle name="Currency 4 10 4 2" xfId="374" xr:uid="{00000000-0005-0000-0000-000075010000}"/>
    <cellStyle name="Currency 4 10 4 3" xfId="375" xr:uid="{00000000-0005-0000-0000-000076010000}"/>
    <cellStyle name="Currency 4 10 5" xfId="376" xr:uid="{00000000-0005-0000-0000-000077010000}"/>
    <cellStyle name="Currency 4 10 5 2" xfId="377" xr:uid="{00000000-0005-0000-0000-000078010000}"/>
    <cellStyle name="Currency 4 2" xfId="378" xr:uid="{00000000-0005-0000-0000-000079010000}"/>
    <cellStyle name="Currency 4 2 2" xfId="379" xr:uid="{00000000-0005-0000-0000-00007A010000}"/>
    <cellStyle name="Currency 4 2 3" xfId="380" xr:uid="{00000000-0005-0000-0000-00007B010000}"/>
    <cellStyle name="Currency 4 3" xfId="381" xr:uid="{00000000-0005-0000-0000-00007C010000}"/>
    <cellStyle name="Currency 4 3 2" xfId="382" xr:uid="{00000000-0005-0000-0000-00007D010000}"/>
    <cellStyle name="Currency 4 3 2 2" xfId="383" xr:uid="{00000000-0005-0000-0000-00007E010000}"/>
    <cellStyle name="Currency 4 3 2 3" xfId="384" xr:uid="{00000000-0005-0000-0000-00007F010000}"/>
    <cellStyle name="Currency 4 3 2 4" xfId="385" xr:uid="{00000000-0005-0000-0000-000080010000}"/>
    <cellStyle name="Currency 4 3 3" xfId="386" xr:uid="{00000000-0005-0000-0000-000081010000}"/>
    <cellStyle name="Currency 4 4" xfId="387" xr:uid="{00000000-0005-0000-0000-000082010000}"/>
    <cellStyle name="Currency 4 5" xfId="388" xr:uid="{00000000-0005-0000-0000-000083010000}"/>
    <cellStyle name="Currency 4 5 2" xfId="389" xr:uid="{00000000-0005-0000-0000-000084010000}"/>
    <cellStyle name="Currency 4 5 3" xfId="390" xr:uid="{00000000-0005-0000-0000-000085010000}"/>
    <cellStyle name="Currency 4 5 4" xfId="391" xr:uid="{00000000-0005-0000-0000-000086010000}"/>
    <cellStyle name="Currency 5" xfId="392" xr:uid="{00000000-0005-0000-0000-000087010000}"/>
    <cellStyle name="Currency 5 2" xfId="393" xr:uid="{00000000-0005-0000-0000-000088010000}"/>
    <cellStyle name="Currency 5 3" xfId="394" xr:uid="{00000000-0005-0000-0000-000089010000}"/>
    <cellStyle name="Currency 5 4" xfId="395" xr:uid="{00000000-0005-0000-0000-00008A010000}"/>
    <cellStyle name="Currency 5 4 2" xfId="396" xr:uid="{00000000-0005-0000-0000-00008B010000}"/>
    <cellStyle name="Currency 5 4 3" xfId="397" xr:uid="{00000000-0005-0000-0000-00008C010000}"/>
    <cellStyle name="Currency 5 4 4" xfId="398" xr:uid="{00000000-0005-0000-0000-00008D010000}"/>
    <cellStyle name="Currency 5 5" xfId="399" xr:uid="{00000000-0005-0000-0000-00008E010000}"/>
    <cellStyle name="Currency 6" xfId="400" xr:uid="{00000000-0005-0000-0000-00008F010000}"/>
    <cellStyle name="Currency 6 2" xfId="401" xr:uid="{00000000-0005-0000-0000-000090010000}"/>
    <cellStyle name="Currency 6 3" xfId="402" xr:uid="{00000000-0005-0000-0000-000091010000}"/>
    <cellStyle name="Currency 6 3 2" xfId="403" xr:uid="{00000000-0005-0000-0000-000092010000}"/>
    <cellStyle name="Currency 6 3 3" xfId="404" xr:uid="{00000000-0005-0000-0000-000093010000}"/>
    <cellStyle name="Currency 6 3 4" xfId="405" xr:uid="{00000000-0005-0000-0000-000094010000}"/>
    <cellStyle name="Currency 7" xfId="406" xr:uid="{00000000-0005-0000-0000-000095010000}"/>
    <cellStyle name="Currency 8" xfId="407" xr:uid="{00000000-0005-0000-0000-000096010000}"/>
    <cellStyle name="Currency 9" xfId="408" xr:uid="{00000000-0005-0000-0000-000097010000}"/>
    <cellStyle name="Currency0" xfId="409" xr:uid="{00000000-0005-0000-0000-000098010000}"/>
    <cellStyle name="Currency0 2" xfId="410" xr:uid="{00000000-0005-0000-0000-000099010000}"/>
    <cellStyle name="Currency0 2 2" xfId="411" xr:uid="{00000000-0005-0000-0000-00009A010000}"/>
    <cellStyle name="Currency0 2 3" xfId="412" xr:uid="{00000000-0005-0000-0000-00009B010000}"/>
    <cellStyle name="Currency0 2 4" xfId="413" xr:uid="{00000000-0005-0000-0000-00009C010000}"/>
    <cellStyle name="Currency0 2 5" xfId="414" xr:uid="{00000000-0005-0000-0000-00009D010000}"/>
    <cellStyle name="Currency0 3" xfId="415" xr:uid="{00000000-0005-0000-0000-00009E010000}"/>
    <cellStyle name="Date" xfId="416" xr:uid="{00000000-0005-0000-0000-00009F010000}"/>
    <cellStyle name="Date 2" xfId="417" xr:uid="{00000000-0005-0000-0000-0000A0010000}"/>
    <cellStyle name="Date 2 2" xfId="418" xr:uid="{00000000-0005-0000-0000-0000A1010000}"/>
    <cellStyle name="Date 2 3" xfId="419" xr:uid="{00000000-0005-0000-0000-0000A2010000}"/>
    <cellStyle name="Date 2 4" xfId="420" xr:uid="{00000000-0005-0000-0000-0000A3010000}"/>
    <cellStyle name="Date 2 5" xfId="421" xr:uid="{00000000-0005-0000-0000-0000A4010000}"/>
    <cellStyle name="Date 3" xfId="422" xr:uid="{00000000-0005-0000-0000-0000A5010000}"/>
    <cellStyle name="Explanatory Text" xfId="423" builtinId="53" customBuiltin="1"/>
    <cellStyle name="Explanatory Text 2" xfId="424" xr:uid="{00000000-0005-0000-0000-0000A7010000}"/>
    <cellStyle name="Explanatory Text 2 2" xfId="425" xr:uid="{00000000-0005-0000-0000-0000A8010000}"/>
    <cellStyle name="Fixed" xfId="426" xr:uid="{00000000-0005-0000-0000-0000A9010000}"/>
    <cellStyle name="Fixed 2" xfId="427" xr:uid="{00000000-0005-0000-0000-0000AA010000}"/>
    <cellStyle name="Fixed 2 2" xfId="428" xr:uid="{00000000-0005-0000-0000-0000AB010000}"/>
    <cellStyle name="Fixed 2 3" xfId="429" xr:uid="{00000000-0005-0000-0000-0000AC010000}"/>
    <cellStyle name="Fixed 2 4" xfId="430" xr:uid="{00000000-0005-0000-0000-0000AD010000}"/>
    <cellStyle name="Fixed 2 5" xfId="431" xr:uid="{00000000-0005-0000-0000-0000AE010000}"/>
    <cellStyle name="Fixed 3" xfId="432" xr:uid="{00000000-0005-0000-0000-0000AF010000}"/>
    <cellStyle name="Good" xfId="433" builtinId="26" customBuiltin="1"/>
    <cellStyle name="Good 2" xfId="434" xr:uid="{00000000-0005-0000-0000-0000B1010000}"/>
    <cellStyle name="Good 2 2" xfId="435" xr:uid="{00000000-0005-0000-0000-0000B2010000}"/>
    <cellStyle name="Heading 1" xfId="436" builtinId="16" customBuiltin="1"/>
    <cellStyle name="Heading 1 2" xfId="437" xr:uid="{00000000-0005-0000-0000-0000B4010000}"/>
    <cellStyle name="Heading 1 2 2" xfId="438" xr:uid="{00000000-0005-0000-0000-0000B5010000}"/>
    <cellStyle name="Heading 1 3" xfId="439" xr:uid="{00000000-0005-0000-0000-0000B6010000}"/>
    <cellStyle name="Heading 1 3 2" xfId="440" xr:uid="{00000000-0005-0000-0000-0000B7010000}"/>
    <cellStyle name="Heading 2" xfId="441" builtinId="17" customBuiltin="1"/>
    <cellStyle name="Heading 2 2" xfId="442" xr:uid="{00000000-0005-0000-0000-0000B9010000}"/>
    <cellStyle name="Heading 2 2 2" xfId="443" xr:uid="{00000000-0005-0000-0000-0000BA010000}"/>
    <cellStyle name="Heading 2 3" xfId="444" xr:uid="{00000000-0005-0000-0000-0000BB010000}"/>
    <cellStyle name="Heading 2 3 2" xfId="445" xr:uid="{00000000-0005-0000-0000-0000BC010000}"/>
    <cellStyle name="Heading 3" xfId="446" builtinId="18" customBuiltin="1"/>
    <cellStyle name="Heading 3 2" xfId="447" xr:uid="{00000000-0005-0000-0000-0000BE010000}"/>
    <cellStyle name="Heading 3 2 2" xfId="448" xr:uid="{00000000-0005-0000-0000-0000BF010000}"/>
    <cellStyle name="Heading 4" xfId="449" builtinId="19" customBuiltin="1"/>
    <cellStyle name="Heading 4 2" xfId="450" xr:uid="{00000000-0005-0000-0000-0000C1010000}"/>
    <cellStyle name="Heading 4 2 2" xfId="451" xr:uid="{00000000-0005-0000-0000-0000C2010000}"/>
    <cellStyle name="Heading1" xfId="452" xr:uid="{00000000-0005-0000-0000-0000C3010000}"/>
    <cellStyle name="Heading2" xfId="453" xr:uid="{00000000-0005-0000-0000-0000C4010000}"/>
    <cellStyle name="Input" xfId="454" builtinId="20" customBuiltin="1"/>
    <cellStyle name="Input 2" xfId="455" xr:uid="{00000000-0005-0000-0000-0000C6010000}"/>
    <cellStyle name="Input 2 2" xfId="456" xr:uid="{00000000-0005-0000-0000-0000C7010000}"/>
    <cellStyle name="Linked Cell" xfId="457" builtinId="24" customBuiltin="1"/>
    <cellStyle name="Linked Cell 2" xfId="458" xr:uid="{00000000-0005-0000-0000-0000C9010000}"/>
    <cellStyle name="Linked Cell 2 2" xfId="459" xr:uid="{00000000-0005-0000-0000-0000CA010000}"/>
    <cellStyle name="M" xfId="460" xr:uid="{00000000-0005-0000-0000-0000CB010000}"/>
    <cellStyle name="M 2" xfId="461" xr:uid="{00000000-0005-0000-0000-0000CC010000}"/>
    <cellStyle name="M 2 2" xfId="462" xr:uid="{00000000-0005-0000-0000-0000CD010000}"/>
    <cellStyle name="M 2 2 2" xfId="463" xr:uid="{00000000-0005-0000-0000-0000CE010000}"/>
    <cellStyle name="M 3" xfId="464" xr:uid="{00000000-0005-0000-0000-0000CF010000}"/>
    <cellStyle name="M 3 2" xfId="465" xr:uid="{00000000-0005-0000-0000-0000D0010000}"/>
    <cellStyle name="M 3 2 2" xfId="466" xr:uid="{00000000-0005-0000-0000-0000D1010000}"/>
    <cellStyle name="M 4" xfId="467" xr:uid="{00000000-0005-0000-0000-0000D2010000}"/>
    <cellStyle name="M 5" xfId="468" xr:uid="{00000000-0005-0000-0000-0000D3010000}"/>
    <cellStyle name="M 5 2" xfId="469" xr:uid="{00000000-0005-0000-0000-0000D4010000}"/>
    <cellStyle name="M 6" xfId="470" xr:uid="{00000000-0005-0000-0000-0000D5010000}"/>
    <cellStyle name="M 6 2" xfId="471" xr:uid="{00000000-0005-0000-0000-0000D6010000}"/>
    <cellStyle name="M 7" xfId="472" xr:uid="{00000000-0005-0000-0000-0000D7010000}"/>
    <cellStyle name="Neutral" xfId="473" builtinId="28" customBuiltin="1"/>
    <cellStyle name="Neutral 2" xfId="474" xr:uid="{00000000-0005-0000-0000-0000D9010000}"/>
    <cellStyle name="Neutral 2 2" xfId="475" xr:uid="{00000000-0005-0000-0000-0000DA010000}"/>
    <cellStyle name="Normal" xfId="0" builtinId="0"/>
    <cellStyle name="Normal 10" xfId="476" xr:uid="{00000000-0005-0000-0000-0000DC010000}"/>
    <cellStyle name="Normal 10 2" xfId="477" xr:uid="{00000000-0005-0000-0000-0000DD010000}"/>
    <cellStyle name="Normal 11" xfId="478" xr:uid="{00000000-0005-0000-0000-0000DE010000}"/>
    <cellStyle name="Normal 11 2" xfId="479" xr:uid="{00000000-0005-0000-0000-0000DF010000}"/>
    <cellStyle name="Normal 11 3" xfId="480" xr:uid="{00000000-0005-0000-0000-0000E0010000}"/>
    <cellStyle name="Normal 12" xfId="481" xr:uid="{00000000-0005-0000-0000-0000E1010000}"/>
    <cellStyle name="Normal 12 2" xfId="482" xr:uid="{00000000-0005-0000-0000-0000E2010000}"/>
    <cellStyle name="Normal 12 3" xfId="483" xr:uid="{00000000-0005-0000-0000-0000E3010000}"/>
    <cellStyle name="Normal 2" xfId="484" xr:uid="{00000000-0005-0000-0000-0000E4010000}"/>
    <cellStyle name="Normal 2 2" xfId="485" xr:uid="{00000000-0005-0000-0000-0000E5010000}"/>
    <cellStyle name="Normal 2 2 2" xfId="486" xr:uid="{00000000-0005-0000-0000-0000E6010000}"/>
    <cellStyle name="Normal 2 2 3" xfId="487" xr:uid="{00000000-0005-0000-0000-0000E7010000}"/>
    <cellStyle name="Normal 2 2 4" xfId="488" xr:uid="{00000000-0005-0000-0000-0000E8010000}"/>
    <cellStyle name="Normal 3" xfId="489" xr:uid="{00000000-0005-0000-0000-0000E9010000}"/>
    <cellStyle name="Normal 3 2" xfId="490" xr:uid="{00000000-0005-0000-0000-0000EA010000}"/>
    <cellStyle name="Normal 3 2 2" xfId="491" xr:uid="{00000000-0005-0000-0000-0000EB010000}"/>
    <cellStyle name="Normal 3 3" xfId="492" xr:uid="{00000000-0005-0000-0000-0000EC010000}"/>
    <cellStyle name="Normal 3 3 2" xfId="493" xr:uid="{00000000-0005-0000-0000-0000ED010000}"/>
    <cellStyle name="Normal 3 3 3" xfId="494" xr:uid="{00000000-0005-0000-0000-0000EE010000}"/>
    <cellStyle name="Normal 3 3 4" xfId="495" xr:uid="{00000000-0005-0000-0000-0000EF010000}"/>
    <cellStyle name="Normal 3_OPCo Period I PJM  Formula Rate" xfId="496" xr:uid="{00000000-0005-0000-0000-0000F0010000}"/>
    <cellStyle name="Normal 35" xfId="497" xr:uid="{00000000-0005-0000-0000-0000F1010000}"/>
    <cellStyle name="Normal 4" xfId="498" xr:uid="{00000000-0005-0000-0000-0000F2010000}"/>
    <cellStyle name="Normal 4 2" xfId="499" xr:uid="{00000000-0005-0000-0000-0000F3010000}"/>
    <cellStyle name="Normal 4 2 2" xfId="500" xr:uid="{00000000-0005-0000-0000-0000F4010000}"/>
    <cellStyle name="Normal 4 3" xfId="501" xr:uid="{00000000-0005-0000-0000-0000F5010000}"/>
    <cellStyle name="Normal 4 3 2" xfId="502" xr:uid="{00000000-0005-0000-0000-0000F6010000}"/>
    <cellStyle name="Normal 4 3 2 2" xfId="503" xr:uid="{00000000-0005-0000-0000-0000F7010000}"/>
    <cellStyle name="Normal 4 3 2 3" xfId="504" xr:uid="{00000000-0005-0000-0000-0000F8010000}"/>
    <cellStyle name="Normal 4 3 3" xfId="505" xr:uid="{00000000-0005-0000-0000-0000F9010000}"/>
    <cellStyle name="Normal 4 3 3 2" xfId="506" xr:uid="{00000000-0005-0000-0000-0000FA010000}"/>
    <cellStyle name="Normal 4 3 3 2 2" xfId="507" xr:uid="{00000000-0005-0000-0000-0000FB010000}"/>
    <cellStyle name="Normal 4 3 3 2 3" xfId="508" xr:uid="{00000000-0005-0000-0000-0000FC010000}"/>
    <cellStyle name="Normal 4 3 3 2 4" xfId="509" xr:uid="{00000000-0005-0000-0000-0000FD010000}"/>
    <cellStyle name="Normal 4 3 3 3" xfId="510" xr:uid="{00000000-0005-0000-0000-0000FE010000}"/>
    <cellStyle name="Normal 4 3 4" xfId="511" xr:uid="{00000000-0005-0000-0000-0000FF010000}"/>
    <cellStyle name="Normal 4 3 5" xfId="512" xr:uid="{00000000-0005-0000-0000-000000020000}"/>
    <cellStyle name="Normal 4 3 5 2" xfId="513" xr:uid="{00000000-0005-0000-0000-000001020000}"/>
    <cellStyle name="Normal 4 3 5 3" xfId="514" xr:uid="{00000000-0005-0000-0000-000002020000}"/>
    <cellStyle name="Normal 4 3 5 4" xfId="515" xr:uid="{00000000-0005-0000-0000-000003020000}"/>
    <cellStyle name="Normal 4 4" xfId="516" xr:uid="{00000000-0005-0000-0000-000004020000}"/>
    <cellStyle name="Normal 4 4 2" xfId="517" xr:uid="{00000000-0005-0000-0000-000005020000}"/>
    <cellStyle name="Normal 4 4 3" xfId="518" xr:uid="{00000000-0005-0000-0000-000006020000}"/>
    <cellStyle name="Normal 4 4 4" xfId="519" xr:uid="{00000000-0005-0000-0000-000007020000}"/>
    <cellStyle name="Normal 4 4 4 2" xfId="520" xr:uid="{00000000-0005-0000-0000-000008020000}"/>
    <cellStyle name="Normal 4 4 4 3" xfId="521" xr:uid="{00000000-0005-0000-0000-000009020000}"/>
    <cellStyle name="Normal 4 4 4 4" xfId="522" xr:uid="{00000000-0005-0000-0000-00000A020000}"/>
    <cellStyle name="Normal 4 4 5" xfId="523" xr:uid="{00000000-0005-0000-0000-00000B020000}"/>
    <cellStyle name="Normal 4 5" xfId="524" xr:uid="{00000000-0005-0000-0000-00000C020000}"/>
    <cellStyle name="Normal 4 5 2" xfId="525" xr:uid="{00000000-0005-0000-0000-00000D020000}"/>
    <cellStyle name="Normal 4 5 2 2" xfId="526" xr:uid="{00000000-0005-0000-0000-00000E020000}"/>
    <cellStyle name="Normal 4 5 2 2 2" xfId="527" xr:uid="{00000000-0005-0000-0000-00000F020000}"/>
    <cellStyle name="Normal 4 5 2 2 3" xfId="528" xr:uid="{00000000-0005-0000-0000-000010020000}"/>
    <cellStyle name="Normal 4 5 2 2 4" xfId="529" xr:uid="{00000000-0005-0000-0000-000011020000}"/>
    <cellStyle name="Normal 4 5 3" xfId="530" xr:uid="{00000000-0005-0000-0000-000012020000}"/>
    <cellStyle name="Normal 4 6" xfId="531" xr:uid="{00000000-0005-0000-0000-000013020000}"/>
    <cellStyle name="Normal 4 7" xfId="532" xr:uid="{00000000-0005-0000-0000-000014020000}"/>
    <cellStyle name="Normal 4 8" xfId="533" xr:uid="{00000000-0005-0000-0000-000015020000}"/>
    <cellStyle name="Normal 4_PBOP Exhibit 1" xfId="534" xr:uid="{00000000-0005-0000-0000-000016020000}"/>
    <cellStyle name="Normal 5" xfId="535" xr:uid="{00000000-0005-0000-0000-000017020000}"/>
    <cellStyle name="Normal 5 2" xfId="536" xr:uid="{00000000-0005-0000-0000-000018020000}"/>
    <cellStyle name="Normal 5 2 2" xfId="537" xr:uid="{00000000-0005-0000-0000-000019020000}"/>
    <cellStyle name="Normal 5 2 3" xfId="538" xr:uid="{00000000-0005-0000-0000-00001A020000}"/>
    <cellStyle name="Normal 5 2 4" xfId="539" xr:uid="{00000000-0005-0000-0000-00001B020000}"/>
    <cellStyle name="Normal 6" xfId="540" xr:uid="{00000000-0005-0000-0000-00001C020000}"/>
    <cellStyle name="Normal 6 2" xfId="541" xr:uid="{00000000-0005-0000-0000-00001D020000}"/>
    <cellStyle name="Normal 7" xfId="542" xr:uid="{00000000-0005-0000-0000-00001E020000}"/>
    <cellStyle name="Normal 7 2" xfId="543" xr:uid="{00000000-0005-0000-0000-00001F020000}"/>
    <cellStyle name="Normal 7 3" xfId="544" xr:uid="{00000000-0005-0000-0000-000020020000}"/>
    <cellStyle name="Normal 8" xfId="545" xr:uid="{00000000-0005-0000-0000-000021020000}"/>
    <cellStyle name="Normal 8 2" xfId="546" xr:uid="{00000000-0005-0000-0000-000022020000}"/>
    <cellStyle name="Normal 9" xfId="547" xr:uid="{00000000-0005-0000-0000-000023020000}"/>
    <cellStyle name="Normal 9 2" xfId="548" xr:uid="{00000000-0005-0000-0000-000024020000}"/>
    <cellStyle name="Normal_FN1 Ratebase Draft SPP template (6-11-04) v2" xfId="549" xr:uid="{00000000-0005-0000-0000-000025020000}"/>
    <cellStyle name="Note" xfId="550" builtinId="10" customBuiltin="1"/>
    <cellStyle name="Note 2" xfId="551" xr:uid="{00000000-0005-0000-0000-000027020000}"/>
    <cellStyle name="Note 2 2" xfId="552" xr:uid="{00000000-0005-0000-0000-000028020000}"/>
    <cellStyle name="Note 2 2 2" xfId="553" xr:uid="{00000000-0005-0000-0000-000029020000}"/>
    <cellStyle name="Note 2 2 3" xfId="554" xr:uid="{00000000-0005-0000-0000-00002A020000}"/>
    <cellStyle name="Note 2 2 4" xfId="555" xr:uid="{00000000-0005-0000-0000-00002B020000}"/>
    <cellStyle name="Output" xfId="556" builtinId="21" customBuiltin="1"/>
    <cellStyle name="Output 2" xfId="557" xr:uid="{00000000-0005-0000-0000-00002D020000}"/>
    <cellStyle name="Output 2 2" xfId="558" xr:uid="{00000000-0005-0000-0000-00002E020000}"/>
    <cellStyle name="Percent" xfId="559" builtinId="5"/>
    <cellStyle name="Percent 10" xfId="560" xr:uid="{00000000-0005-0000-0000-000030020000}"/>
    <cellStyle name="Percent 2" xfId="561" xr:uid="{00000000-0005-0000-0000-000031020000}"/>
    <cellStyle name="Percent 2 2" xfId="562" xr:uid="{00000000-0005-0000-0000-000032020000}"/>
    <cellStyle name="Percent 2 2 2" xfId="563" xr:uid="{00000000-0005-0000-0000-000033020000}"/>
    <cellStyle name="Percent 2 3" xfId="564" xr:uid="{00000000-0005-0000-0000-000034020000}"/>
    <cellStyle name="Percent 3" xfId="565" xr:uid="{00000000-0005-0000-0000-000035020000}"/>
    <cellStyle name="Percent 3 2" xfId="566" xr:uid="{00000000-0005-0000-0000-000036020000}"/>
    <cellStyle name="Percent 3 2 2" xfId="567" xr:uid="{00000000-0005-0000-0000-000037020000}"/>
    <cellStyle name="Percent 3 3" xfId="568" xr:uid="{00000000-0005-0000-0000-000038020000}"/>
    <cellStyle name="Percent 3 3 2" xfId="569" xr:uid="{00000000-0005-0000-0000-000039020000}"/>
    <cellStyle name="Percent 3 3 2 2" xfId="570" xr:uid="{00000000-0005-0000-0000-00003A020000}"/>
    <cellStyle name="Percent 3 3 2 3" xfId="571" xr:uid="{00000000-0005-0000-0000-00003B020000}"/>
    <cellStyle name="Percent 3 3 3" xfId="572" xr:uid="{00000000-0005-0000-0000-00003C020000}"/>
    <cellStyle name="Percent 3 3 3 2" xfId="573" xr:uid="{00000000-0005-0000-0000-00003D020000}"/>
    <cellStyle name="Percent 3 3 3 2 2" xfId="574" xr:uid="{00000000-0005-0000-0000-00003E020000}"/>
    <cellStyle name="Percent 3 3 3 2 3" xfId="575" xr:uid="{00000000-0005-0000-0000-00003F020000}"/>
    <cellStyle name="Percent 3 3 3 2 4" xfId="576" xr:uid="{00000000-0005-0000-0000-000040020000}"/>
    <cellStyle name="Percent 3 3 3 3" xfId="577" xr:uid="{00000000-0005-0000-0000-000041020000}"/>
    <cellStyle name="Percent 3 3 4" xfId="578" xr:uid="{00000000-0005-0000-0000-000042020000}"/>
    <cellStyle name="Percent 3 3 5" xfId="579" xr:uid="{00000000-0005-0000-0000-000043020000}"/>
    <cellStyle name="Percent 3 3 5 2" xfId="580" xr:uid="{00000000-0005-0000-0000-000044020000}"/>
    <cellStyle name="Percent 3 3 5 3" xfId="581" xr:uid="{00000000-0005-0000-0000-000045020000}"/>
    <cellStyle name="Percent 3 3 5 4" xfId="582" xr:uid="{00000000-0005-0000-0000-000046020000}"/>
    <cellStyle name="Percent 3 4" xfId="583" xr:uid="{00000000-0005-0000-0000-000047020000}"/>
    <cellStyle name="Percent 3 4 2" xfId="584" xr:uid="{00000000-0005-0000-0000-000048020000}"/>
    <cellStyle name="Percent 3 4 3" xfId="585" xr:uid="{00000000-0005-0000-0000-000049020000}"/>
    <cellStyle name="Percent 3 4 4" xfId="586" xr:uid="{00000000-0005-0000-0000-00004A020000}"/>
    <cellStyle name="Percent 3 4 4 2" xfId="587" xr:uid="{00000000-0005-0000-0000-00004B020000}"/>
    <cellStyle name="Percent 3 4 4 3" xfId="588" xr:uid="{00000000-0005-0000-0000-00004C020000}"/>
    <cellStyle name="Percent 3 4 4 4" xfId="589" xr:uid="{00000000-0005-0000-0000-00004D020000}"/>
    <cellStyle name="Percent 3 4 5" xfId="590" xr:uid="{00000000-0005-0000-0000-00004E020000}"/>
    <cellStyle name="Percent 3 5" xfId="591" xr:uid="{00000000-0005-0000-0000-00004F020000}"/>
    <cellStyle name="Percent 3 5 2" xfId="592" xr:uid="{00000000-0005-0000-0000-000050020000}"/>
    <cellStyle name="Percent 3 6" xfId="593" xr:uid="{00000000-0005-0000-0000-000051020000}"/>
    <cellStyle name="Percent 3 7" xfId="594" xr:uid="{00000000-0005-0000-0000-000052020000}"/>
    <cellStyle name="Percent 3 8" xfId="595" xr:uid="{00000000-0005-0000-0000-000053020000}"/>
    <cellStyle name="Percent 4" xfId="596" xr:uid="{00000000-0005-0000-0000-000054020000}"/>
    <cellStyle name="Percent 4 2" xfId="597" xr:uid="{00000000-0005-0000-0000-000055020000}"/>
    <cellStyle name="Percent 4 2 2" xfId="598" xr:uid="{00000000-0005-0000-0000-000056020000}"/>
    <cellStyle name="Percent 4 2 3" xfId="599" xr:uid="{00000000-0005-0000-0000-000057020000}"/>
    <cellStyle name="Percent 4 3" xfId="600" xr:uid="{00000000-0005-0000-0000-000058020000}"/>
    <cellStyle name="Percent 4 3 2" xfId="601" xr:uid="{00000000-0005-0000-0000-000059020000}"/>
    <cellStyle name="Percent 4 3 2 2" xfId="602" xr:uid="{00000000-0005-0000-0000-00005A020000}"/>
    <cellStyle name="Percent 4 3 2 3" xfId="603" xr:uid="{00000000-0005-0000-0000-00005B020000}"/>
    <cellStyle name="Percent 4 3 2 4" xfId="604" xr:uid="{00000000-0005-0000-0000-00005C020000}"/>
    <cellStyle name="Percent 4 3 3" xfId="605" xr:uid="{00000000-0005-0000-0000-00005D020000}"/>
    <cellStyle name="Percent 4 4" xfId="606" xr:uid="{00000000-0005-0000-0000-00005E020000}"/>
    <cellStyle name="Percent 4 5" xfId="607" xr:uid="{00000000-0005-0000-0000-00005F020000}"/>
    <cellStyle name="Percent 4 5 2" xfId="608" xr:uid="{00000000-0005-0000-0000-000060020000}"/>
    <cellStyle name="Percent 4 5 3" xfId="609" xr:uid="{00000000-0005-0000-0000-000061020000}"/>
    <cellStyle name="Percent 4 5 4" xfId="610" xr:uid="{00000000-0005-0000-0000-000062020000}"/>
    <cellStyle name="Percent 5" xfId="611" xr:uid="{00000000-0005-0000-0000-000063020000}"/>
    <cellStyle name="Percent 5 2" xfId="612" xr:uid="{00000000-0005-0000-0000-000064020000}"/>
    <cellStyle name="Percent 5 3" xfId="613" xr:uid="{00000000-0005-0000-0000-000065020000}"/>
    <cellStyle name="Percent 5 4" xfId="614" xr:uid="{00000000-0005-0000-0000-000066020000}"/>
    <cellStyle name="Percent 5 4 2" xfId="615" xr:uid="{00000000-0005-0000-0000-000067020000}"/>
    <cellStyle name="Percent 5 4 3" xfId="616" xr:uid="{00000000-0005-0000-0000-000068020000}"/>
    <cellStyle name="Percent 5 4 4" xfId="617" xr:uid="{00000000-0005-0000-0000-000069020000}"/>
    <cellStyle name="Percent 5 5" xfId="618" xr:uid="{00000000-0005-0000-0000-00006A020000}"/>
    <cellStyle name="Percent 6" xfId="619" xr:uid="{00000000-0005-0000-0000-00006B020000}"/>
    <cellStyle name="Percent 6 2" xfId="620" xr:uid="{00000000-0005-0000-0000-00006C020000}"/>
    <cellStyle name="Percent 7" xfId="621" xr:uid="{00000000-0005-0000-0000-00006D020000}"/>
    <cellStyle name="Percent 7 2" xfId="622" xr:uid="{00000000-0005-0000-0000-00006E020000}"/>
    <cellStyle name="Percent 7 2 2" xfId="623" xr:uid="{00000000-0005-0000-0000-00006F020000}"/>
    <cellStyle name="Percent 7 2 2 2" xfId="624" xr:uid="{00000000-0005-0000-0000-000070020000}"/>
    <cellStyle name="Percent 7 2 2 2 2" xfId="625" xr:uid="{00000000-0005-0000-0000-000071020000}"/>
    <cellStyle name="Percent 7 2 2 3" xfId="626" xr:uid="{00000000-0005-0000-0000-000072020000}"/>
    <cellStyle name="Percent 7 2 2 3 2" xfId="627" xr:uid="{00000000-0005-0000-0000-000073020000}"/>
    <cellStyle name="Percent 7 2 2 4" xfId="628" xr:uid="{00000000-0005-0000-0000-000074020000}"/>
    <cellStyle name="Percent 7 2 3" xfId="629" xr:uid="{00000000-0005-0000-0000-000075020000}"/>
    <cellStyle name="Percent 7 2 3 2" xfId="630" xr:uid="{00000000-0005-0000-0000-000076020000}"/>
    <cellStyle name="Percent 7 2 4" xfId="631" xr:uid="{00000000-0005-0000-0000-000077020000}"/>
    <cellStyle name="Percent 7 2 4 2" xfId="632" xr:uid="{00000000-0005-0000-0000-000078020000}"/>
    <cellStyle name="Percent 7 2 4 3" xfId="633" xr:uid="{00000000-0005-0000-0000-000079020000}"/>
    <cellStyle name="Percent 7 2 5" xfId="634" xr:uid="{00000000-0005-0000-0000-00007A020000}"/>
    <cellStyle name="Percent 7 2 5 2" xfId="635" xr:uid="{00000000-0005-0000-0000-00007B020000}"/>
    <cellStyle name="Percent 7 3" xfId="636" xr:uid="{00000000-0005-0000-0000-00007C020000}"/>
    <cellStyle name="Percent 7 4" xfId="637" xr:uid="{00000000-0005-0000-0000-00007D020000}"/>
    <cellStyle name="Percent 7 5" xfId="638" xr:uid="{00000000-0005-0000-0000-00007E020000}"/>
    <cellStyle name="Percent 8" xfId="639" xr:uid="{00000000-0005-0000-0000-00007F020000}"/>
    <cellStyle name="Percent 9" xfId="640" xr:uid="{00000000-0005-0000-0000-000080020000}"/>
    <cellStyle name="PSChar" xfId="641" xr:uid="{00000000-0005-0000-0000-000081020000}"/>
    <cellStyle name="PSChar 2" xfId="642" xr:uid="{00000000-0005-0000-0000-000082020000}"/>
    <cellStyle name="PSChar 2 2" xfId="643" xr:uid="{00000000-0005-0000-0000-000083020000}"/>
    <cellStyle name="PSChar 3" xfId="644" xr:uid="{00000000-0005-0000-0000-000084020000}"/>
    <cellStyle name="PSChar 4" xfId="645" xr:uid="{00000000-0005-0000-0000-000085020000}"/>
    <cellStyle name="PSChar 4 2" xfId="646" xr:uid="{00000000-0005-0000-0000-000086020000}"/>
    <cellStyle name="PSChar 5" xfId="647" xr:uid="{00000000-0005-0000-0000-000087020000}"/>
    <cellStyle name="PSChar 5 2" xfId="648" xr:uid="{00000000-0005-0000-0000-000088020000}"/>
    <cellStyle name="PSDate" xfId="649" xr:uid="{00000000-0005-0000-0000-000089020000}"/>
    <cellStyle name="PSDate 2" xfId="650" xr:uid="{00000000-0005-0000-0000-00008A020000}"/>
    <cellStyle name="PSDate 3" xfId="651" xr:uid="{00000000-0005-0000-0000-00008B020000}"/>
    <cellStyle name="PSDate 4" xfId="652" xr:uid="{00000000-0005-0000-0000-00008C020000}"/>
    <cellStyle name="PSDate 4 2" xfId="653" xr:uid="{00000000-0005-0000-0000-00008D020000}"/>
    <cellStyle name="PSDate 5" xfId="654" xr:uid="{00000000-0005-0000-0000-00008E020000}"/>
    <cellStyle name="PSDate 5 2" xfId="655" xr:uid="{00000000-0005-0000-0000-00008F020000}"/>
    <cellStyle name="PSDec" xfId="656" xr:uid="{00000000-0005-0000-0000-000090020000}"/>
    <cellStyle name="PSDec 2" xfId="657" xr:uid="{00000000-0005-0000-0000-000091020000}"/>
    <cellStyle name="PSDec 3" xfId="658" xr:uid="{00000000-0005-0000-0000-000092020000}"/>
    <cellStyle name="PSDec 4" xfId="659" xr:uid="{00000000-0005-0000-0000-000093020000}"/>
    <cellStyle name="PSDec 4 2" xfId="660" xr:uid="{00000000-0005-0000-0000-000094020000}"/>
    <cellStyle name="PSDec 5" xfId="661" xr:uid="{00000000-0005-0000-0000-000095020000}"/>
    <cellStyle name="PSDec 5 2" xfId="662" xr:uid="{00000000-0005-0000-0000-000096020000}"/>
    <cellStyle name="PSdesc" xfId="663" xr:uid="{00000000-0005-0000-0000-000097020000}"/>
    <cellStyle name="PSdesc 2" xfId="664" xr:uid="{00000000-0005-0000-0000-000098020000}"/>
    <cellStyle name="PSHeading" xfId="665" xr:uid="{00000000-0005-0000-0000-000099020000}"/>
    <cellStyle name="PSHeading 2" xfId="666" xr:uid="{00000000-0005-0000-0000-00009A020000}"/>
    <cellStyle name="PSHeading 3" xfId="667" xr:uid="{00000000-0005-0000-0000-00009B020000}"/>
    <cellStyle name="PSHeading 4" xfId="668" xr:uid="{00000000-0005-0000-0000-00009C020000}"/>
    <cellStyle name="PSHeading 5" xfId="669" xr:uid="{00000000-0005-0000-0000-00009D020000}"/>
    <cellStyle name="PSHeading 5 2" xfId="670" xr:uid="{00000000-0005-0000-0000-00009E020000}"/>
    <cellStyle name="PSHeading 6" xfId="671" xr:uid="{00000000-0005-0000-0000-00009F020000}"/>
    <cellStyle name="PSHeading 6 2" xfId="672" xr:uid="{00000000-0005-0000-0000-0000A0020000}"/>
    <cellStyle name="PSInt" xfId="673" xr:uid="{00000000-0005-0000-0000-0000A1020000}"/>
    <cellStyle name="PSInt 2" xfId="674" xr:uid="{00000000-0005-0000-0000-0000A2020000}"/>
    <cellStyle name="PSInt 3" xfId="675" xr:uid="{00000000-0005-0000-0000-0000A3020000}"/>
    <cellStyle name="PSInt 4" xfId="676" xr:uid="{00000000-0005-0000-0000-0000A4020000}"/>
    <cellStyle name="PSInt 4 2" xfId="677" xr:uid="{00000000-0005-0000-0000-0000A5020000}"/>
    <cellStyle name="PSInt 5" xfId="678" xr:uid="{00000000-0005-0000-0000-0000A6020000}"/>
    <cellStyle name="PSInt 5 2" xfId="679" xr:uid="{00000000-0005-0000-0000-0000A7020000}"/>
    <cellStyle name="PSSpacer" xfId="680" xr:uid="{00000000-0005-0000-0000-0000A8020000}"/>
    <cellStyle name="PSSpacer 2" xfId="681" xr:uid="{00000000-0005-0000-0000-0000A9020000}"/>
    <cellStyle name="PSSpacer 3" xfId="682" xr:uid="{00000000-0005-0000-0000-0000AA020000}"/>
    <cellStyle name="PSSpacer 3 2" xfId="683" xr:uid="{00000000-0005-0000-0000-0000AB020000}"/>
    <cellStyle name="PStest" xfId="684" xr:uid="{00000000-0005-0000-0000-0000AC020000}"/>
    <cellStyle name="PStest 2" xfId="685" xr:uid="{00000000-0005-0000-0000-0000AD020000}"/>
    <cellStyle name="R00A" xfId="686" xr:uid="{00000000-0005-0000-0000-0000AE020000}"/>
    <cellStyle name="R00B" xfId="687" xr:uid="{00000000-0005-0000-0000-0000AF020000}"/>
    <cellStyle name="R00L" xfId="688" xr:uid="{00000000-0005-0000-0000-0000B0020000}"/>
    <cellStyle name="R01A" xfId="689" xr:uid="{00000000-0005-0000-0000-0000B1020000}"/>
    <cellStyle name="R01B" xfId="690" xr:uid="{00000000-0005-0000-0000-0000B2020000}"/>
    <cellStyle name="R01H" xfId="691" xr:uid="{00000000-0005-0000-0000-0000B3020000}"/>
    <cellStyle name="R01L" xfId="692" xr:uid="{00000000-0005-0000-0000-0000B4020000}"/>
    <cellStyle name="R02A" xfId="693" xr:uid="{00000000-0005-0000-0000-0000B5020000}"/>
    <cellStyle name="R02B" xfId="694" xr:uid="{00000000-0005-0000-0000-0000B6020000}"/>
    <cellStyle name="R02B 2" xfId="695" xr:uid="{00000000-0005-0000-0000-0000B7020000}"/>
    <cellStyle name="R02H" xfId="696" xr:uid="{00000000-0005-0000-0000-0000B8020000}"/>
    <cellStyle name="R02L" xfId="697" xr:uid="{00000000-0005-0000-0000-0000B9020000}"/>
    <cellStyle name="R03A" xfId="698" xr:uid="{00000000-0005-0000-0000-0000BA020000}"/>
    <cellStyle name="R03B" xfId="699" xr:uid="{00000000-0005-0000-0000-0000BB020000}"/>
    <cellStyle name="R03B 2" xfId="700" xr:uid="{00000000-0005-0000-0000-0000BC020000}"/>
    <cellStyle name="R03H" xfId="701" xr:uid="{00000000-0005-0000-0000-0000BD020000}"/>
    <cellStyle name="R03L" xfId="702" xr:uid="{00000000-0005-0000-0000-0000BE020000}"/>
    <cellStyle name="R04A" xfId="703" xr:uid="{00000000-0005-0000-0000-0000BF020000}"/>
    <cellStyle name="R04B" xfId="704" xr:uid="{00000000-0005-0000-0000-0000C0020000}"/>
    <cellStyle name="R04B 2" xfId="705" xr:uid="{00000000-0005-0000-0000-0000C1020000}"/>
    <cellStyle name="R04H" xfId="706" xr:uid="{00000000-0005-0000-0000-0000C2020000}"/>
    <cellStyle name="R04L" xfId="707" xr:uid="{00000000-0005-0000-0000-0000C3020000}"/>
    <cellStyle name="R05A" xfId="708" xr:uid="{00000000-0005-0000-0000-0000C4020000}"/>
    <cellStyle name="R05B" xfId="709" xr:uid="{00000000-0005-0000-0000-0000C5020000}"/>
    <cellStyle name="R05B 2" xfId="710" xr:uid="{00000000-0005-0000-0000-0000C6020000}"/>
    <cellStyle name="R05H" xfId="711" xr:uid="{00000000-0005-0000-0000-0000C7020000}"/>
    <cellStyle name="R05L" xfId="712" xr:uid="{00000000-0005-0000-0000-0000C8020000}"/>
    <cellStyle name="R05L 2" xfId="713" xr:uid="{00000000-0005-0000-0000-0000C9020000}"/>
    <cellStyle name="R06A" xfId="714" xr:uid="{00000000-0005-0000-0000-0000CA020000}"/>
    <cellStyle name="R06B" xfId="715" xr:uid="{00000000-0005-0000-0000-0000CB020000}"/>
    <cellStyle name="R06B 2" xfId="716" xr:uid="{00000000-0005-0000-0000-0000CC020000}"/>
    <cellStyle name="R06H" xfId="717" xr:uid="{00000000-0005-0000-0000-0000CD020000}"/>
    <cellStyle name="R06L" xfId="718" xr:uid="{00000000-0005-0000-0000-0000CE020000}"/>
    <cellStyle name="R07A" xfId="719" xr:uid="{00000000-0005-0000-0000-0000CF020000}"/>
    <cellStyle name="R07B" xfId="720" xr:uid="{00000000-0005-0000-0000-0000D0020000}"/>
    <cellStyle name="R07B 2" xfId="721" xr:uid="{00000000-0005-0000-0000-0000D1020000}"/>
    <cellStyle name="R07H" xfId="722" xr:uid="{00000000-0005-0000-0000-0000D2020000}"/>
    <cellStyle name="R07L" xfId="723" xr:uid="{00000000-0005-0000-0000-0000D3020000}"/>
    <cellStyle name="Title" xfId="724" builtinId="15" customBuiltin="1"/>
    <cellStyle name="Title 2" xfId="725" xr:uid="{00000000-0005-0000-0000-0000D5020000}"/>
    <cellStyle name="Title 2 2" xfId="726" xr:uid="{00000000-0005-0000-0000-0000D6020000}"/>
    <cellStyle name="Total" xfId="727" builtinId="25" customBuiltin="1"/>
    <cellStyle name="Total 2" xfId="728" xr:uid="{00000000-0005-0000-0000-0000D8020000}"/>
    <cellStyle name="Total 2 2" xfId="729" xr:uid="{00000000-0005-0000-0000-0000D9020000}"/>
    <cellStyle name="Total 3" xfId="730" xr:uid="{00000000-0005-0000-0000-0000DA020000}"/>
    <cellStyle name="Total 3 2" xfId="731" xr:uid="{00000000-0005-0000-0000-0000DB020000}"/>
    <cellStyle name="Warning Text" xfId="732" builtinId="11" customBuiltin="1"/>
    <cellStyle name="Warning Text 2" xfId="733" xr:uid="{00000000-0005-0000-0000-0000DD020000}"/>
    <cellStyle name="Warning Text 2 2" xfId="734" xr:uid="{00000000-0005-0000-0000-0000DE020000}"/>
  </cellStyles>
  <dxfs count="67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B00-0000F52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C00-0000F25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D00-0000F45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E00-0000F25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F00-0000F26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1000-0000EF6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>
          <a:extLst>
            <a:ext uri="{FF2B5EF4-FFF2-40B4-BE49-F238E27FC236}">
              <a16:creationId xmlns:a16="http://schemas.microsoft.com/office/drawing/2014/main" id="{00000000-0008-0000-1100-0000B86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9109" name="Text Box 1">
          <a:extLst>
            <a:ext uri="{FF2B5EF4-FFF2-40B4-BE49-F238E27FC236}">
              <a16:creationId xmlns:a16="http://schemas.microsoft.com/office/drawing/2014/main" id="{00000000-0008-0000-1200-0000B57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>
          <a:extLst>
            <a:ext uri="{FF2B5EF4-FFF2-40B4-BE49-F238E27FC236}">
              <a16:creationId xmlns:a16="http://schemas.microsoft.com/office/drawing/2014/main" id="{00000000-0008-0000-1300-0000807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>
          <a:extLst>
            <a:ext uri="{FF2B5EF4-FFF2-40B4-BE49-F238E27FC236}">
              <a16:creationId xmlns:a16="http://schemas.microsoft.com/office/drawing/2014/main" id="{00000000-0008-0000-1400-0000807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8147" name="Text Box 1">
          <a:extLst>
            <a:ext uri="{FF2B5EF4-FFF2-40B4-BE49-F238E27FC236}">
              <a16:creationId xmlns:a16="http://schemas.microsoft.com/office/drawing/2014/main" id="{00000000-0008-0000-1500-0000039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>
          <a:extLst>
            <a:ext uri="{FF2B5EF4-FFF2-40B4-BE49-F238E27FC236}">
              <a16:creationId xmlns:a16="http://schemas.microsoft.com/office/drawing/2014/main" id="{00000000-0008-0000-1600-0000039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40195" name="Text Box 1">
          <a:extLst>
            <a:ext uri="{FF2B5EF4-FFF2-40B4-BE49-F238E27FC236}">
              <a16:creationId xmlns:a16="http://schemas.microsoft.com/office/drawing/2014/main" id="{00000000-0008-0000-1700-0000039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>
          <a:extLst>
            <a:ext uri="{FF2B5EF4-FFF2-40B4-BE49-F238E27FC236}">
              <a16:creationId xmlns:a16="http://schemas.microsoft.com/office/drawing/2014/main" id="{00000000-0008-0000-1800-000003A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>
          <a:extLst>
            <a:ext uri="{FF2B5EF4-FFF2-40B4-BE49-F238E27FC236}">
              <a16:creationId xmlns:a16="http://schemas.microsoft.com/office/drawing/2014/main" id="{00000000-0008-0000-1900-00005EA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>
          <a:extLst>
            <a:ext uri="{FF2B5EF4-FFF2-40B4-BE49-F238E27FC236}">
              <a16:creationId xmlns:a16="http://schemas.microsoft.com/office/drawing/2014/main" id="{00000000-0008-0000-1A00-00005EA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48143" name="Text Box 1">
          <a:extLst>
            <a:ext uri="{FF2B5EF4-FFF2-40B4-BE49-F238E27FC236}">
              <a16:creationId xmlns:a16="http://schemas.microsoft.com/office/drawing/2014/main" id="{00000000-0008-0000-1B00-00000FB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49167" name="Text Box 1">
          <a:extLst>
            <a:ext uri="{FF2B5EF4-FFF2-40B4-BE49-F238E27FC236}">
              <a16:creationId xmlns:a16="http://schemas.microsoft.com/office/drawing/2014/main" id="{00000000-0008-0000-1C00-00000FC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50191" name="Text Box 1">
          <a:extLst>
            <a:ext uri="{FF2B5EF4-FFF2-40B4-BE49-F238E27FC236}">
              <a16:creationId xmlns:a16="http://schemas.microsoft.com/office/drawing/2014/main" id="{00000000-0008-0000-1D00-00000FC4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51215" name="Text Box 1">
          <a:extLst>
            <a:ext uri="{FF2B5EF4-FFF2-40B4-BE49-F238E27FC236}">
              <a16:creationId xmlns:a16="http://schemas.microsoft.com/office/drawing/2014/main" id="{00000000-0008-0000-1E00-00000FC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400-0000F40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2</xdr:row>
      <xdr:rowOff>15875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AF117FD-76E6-49EC-9EF2-8B5FC40C6226}"/>
            </a:ext>
          </a:extLst>
        </xdr:cNvPr>
        <xdr:cNvSpPr txBox="1">
          <a:spLocks noChangeArrowheads="1"/>
        </xdr:cNvSpPr>
      </xdr:nvSpPr>
      <xdr:spPr bwMode="auto">
        <a:xfrm>
          <a:off x="3917950" y="0"/>
          <a:ext cx="1143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3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99CE5BC-D211-4ADF-B91D-8A549748BFC3}"/>
            </a:ext>
          </a:extLst>
        </xdr:cNvPr>
        <xdr:cNvSpPr txBox="1">
          <a:spLocks noChangeArrowheads="1"/>
        </xdr:cNvSpPr>
      </xdr:nvSpPr>
      <xdr:spPr bwMode="auto">
        <a:xfrm>
          <a:off x="3917950" y="0"/>
          <a:ext cx="1143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3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CA0CDC1-8A43-4F32-9FF5-BD0A38309929}"/>
            </a:ext>
          </a:extLst>
        </xdr:cNvPr>
        <xdr:cNvSpPr txBox="1">
          <a:spLocks noChangeArrowheads="1"/>
        </xdr:cNvSpPr>
      </xdr:nvSpPr>
      <xdr:spPr bwMode="auto">
        <a:xfrm>
          <a:off x="3917950" y="0"/>
          <a:ext cx="1143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2000-0000F33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500-0000F41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600-00000716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700-0000F51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800-0000F51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900-0000F22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A00-0000F42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96"/>
  <sheetViews>
    <sheetView tabSelected="1" zoomScale="70" zoomScaleNormal="70" zoomScaleSheetLayoutView="75" workbookViewId="0">
      <selection activeCell="H4" sqref="H4"/>
    </sheetView>
  </sheetViews>
  <sheetFormatPr defaultColWidth="8.7265625" defaultRowHeight="12.75" customHeight="1"/>
  <cols>
    <col min="1" max="1" width="7.453125" style="148" customWidth="1"/>
    <col min="2" max="2" width="7" style="148" bestFit="1" customWidth="1"/>
    <col min="3" max="3" width="43.1796875" style="148" customWidth="1"/>
    <col min="4" max="4" width="9.54296875" style="148" customWidth="1"/>
    <col min="5" max="7" width="15.453125" style="148" bestFit="1" customWidth="1"/>
    <col min="8" max="8" width="2.81640625" style="148" customWidth="1"/>
    <col min="9" max="9" width="13.54296875" style="148" bestFit="1" customWidth="1"/>
    <col min="10" max="10" width="13.26953125" style="148" customWidth="1"/>
    <col min="11" max="11" width="14.81640625" style="148" customWidth="1"/>
    <col min="12" max="12" width="15.26953125" style="148" customWidth="1"/>
    <col min="13" max="13" width="2.453125" style="148" customWidth="1"/>
    <col min="14" max="14" width="6.1796875" style="148" customWidth="1"/>
    <col min="15" max="15" width="8.7265625" style="148" customWidth="1"/>
    <col min="16" max="16" width="10.7265625" style="148" customWidth="1"/>
    <col min="17" max="17" width="14.453125" style="701" customWidth="1"/>
    <col min="18" max="18" width="18.7265625" style="148" customWidth="1"/>
    <col min="19" max="19" width="2.453125" style="148" customWidth="1"/>
    <col min="20" max="20" width="19.1796875" style="148" bestFit="1" customWidth="1"/>
    <col min="21" max="21" width="11.81640625" style="214" bestFit="1" customWidth="1"/>
    <col min="22" max="22" width="13.81640625" style="148" customWidth="1"/>
    <col min="23" max="28" width="8.7265625" style="148"/>
    <col min="29" max="29" width="9.1796875" style="148" customWidth="1"/>
    <col min="30" max="16384" width="8.7265625" style="148"/>
  </cols>
  <sheetData>
    <row r="1" spans="1:23" ht="15.5">
      <c r="H1" s="149" t="s">
        <v>157</v>
      </c>
      <c r="U1" s="214">
        <v>2022</v>
      </c>
    </row>
    <row r="2" spans="1:23" ht="15.5">
      <c r="H2" s="150" t="s">
        <v>189</v>
      </c>
      <c r="U2" s="214">
        <f>+U1+1</f>
        <v>2023</v>
      </c>
    </row>
    <row r="3" spans="1:23" ht="15.5">
      <c r="H3" s="151" t="str">
        <f>"For Calendar Year "&amp;U1+1&amp;" and Projected Year "&amp;U1+1</f>
        <v>For Calendar Year 2023 and Projected Year 2023</v>
      </c>
    </row>
    <row r="4" spans="1:23" ht="15.5">
      <c r="H4" s="152"/>
    </row>
    <row r="5" spans="1:23" ht="15.5">
      <c r="H5" s="153" t="s">
        <v>158</v>
      </c>
    </row>
    <row r="7" spans="1:23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3" ht="12.5">
      <c r="D8" s="155"/>
    </row>
    <row r="9" spans="1:23" ht="12.5">
      <c r="A9" s="148" t="s">
        <v>257</v>
      </c>
    </row>
    <row r="12" spans="1:23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702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710"/>
      <c r="V12" s="159"/>
      <c r="W12" s="159"/>
    </row>
    <row r="13" spans="1:23" ht="16.5" customHeight="1">
      <c r="A13" s="160"/>
      <c r="B13" s="160"/>
      <c r="C13" s="160"/>
      <c r="D13" s="160"/>
      <c r="E13" s="715" t="str">
        <f>"Projected ARR For "&amp;U2&amp;" From WS-F"</f>
        <v>Projected ARR For 2023 From WS-F</v>
      </c>
      <c r="F13" s="715"/>
      <c r="G13" s="715"/>
      <c r="H13" s="160"/>
      <c r="I13" s="161" t="s">
        <v>365</v>
      </c>
      <c r="J13" s="161"/>
      <c r="K13" s="161"/>
      <c r="L13" s="161"/>
      <c r="M13" s="161"/>
      <c r="N13" s="161"/>
      <c r="O13" s="161"/>
      <c r="P13" s="161"/>
      <c r="Q13" s="703"/>
      <c r="R13" s="162"/>
      <c r="S13" s="160"/>
      <c r="T13" s="160"/>
      <c r="U13" s="711"/>
    </row>
    <row r="14" spans="1:23" ht="18" customHeight="1">
      <c r="I14" s="163"/>
      <c r="T14" s="716" t="str">
        <f>"Total ADJUSTED Revenue Requirement Effective
1/1/"&amp;U2&amp;""</f>
        <v>Total ADJUSTED Revenue Requirement Effective
1/1/2023</v>
      </c>
    </row>
    <row r="15" spans="1:23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704"/>
      <c r="T15" s="716"/>
    </row>
    <row r="16" spans="1:23" ht="69" customHeight="1">
      <c r="A16" s="168" t="s">
        <v>179</v>
      </c>
      <c r="B16" s="169" t="s">
        <v>169</v>
      </c>
      <c r="C16" s="169" t="s">
        <v>131</v>
      </c>
      <c r="D16" s="170" t="s">
        <v>170</v>
      </c>
      <c r="E16" s="171" t="s">
        <v>194</v>
      </c>
      <c r="F16" s="172" t="s">
        <v>171</v>
      </c>
      <c r="G16" s="172" t="s">
        <v>172</v>
      </c>
      <c r="I16" s="173" t="s">
        <v>193</v>
      </c>
      <c r="J16" s="173" t="s">
        <v>223</v>
      </c>
      <c r="K16" s="173" t="s">
        <v>213</v>
      </c>
      <c r="L16" s="173" t="s">
        <v>195</v>
      </c>
      <c r="M16" s="173"/>
      <c r="N16" s="174" t="s">
        <v>173</v>
      </c>
      <c r="O16" s="174" t="s">
        <v>174</v>
      </c>
      <c r="P16" s="175" t="s">
        <v>175</v>
      </c>
      <c r="Q16" s="705" t="s">
        <v>176</v>
      </c>
      <c r="R16" s="171" t="s">
        <v>220</v>
      </c>
      <c r="T16" s="716"/>
      <c r="U16" s="712" t="s">
        <v>361</v>
      </c>
      <c r="V16" s="176" t="s">
        <v>200</v>
      </c>
    </row>
    <row r="17" spans="1:23" ht="13">
      <c r="B17" s="160"/>
      <c r="C17" s="160"/>
      <c r="E17" s="177"/>
      <c r="F17" s="177"/>
      <c r="G17" s="177"/>
      <c r="I17" s="177"/>
      <c r="J17" s="177"/>
      <c r="K17" s="177"/>
      <c r="L17" s="177"/>
      <c r="M17" s="177"/>
      <c r="N17" s="177"/>
      <c r="O17" s="177"/>
      <c r="P17" s="177"/>
      <c r="Q17" s="706"/>
      <c r="R17" s="177"/>
      <c r="T17" s="177"/>
      <c r="V17" s="178"/>
    </row>
    <row r="18" spans="1:23" ht="13">
      <c r="A18" s="156" t="s">
        <v>178</v>
      </c>
      <c r="B18" s="156" t="s">
        <v>117</v>
      </c>
      <c r="C18" s="179" t="str">
        <f t="shared" ref="C18:D48" ca="1" si="0">INDIRECT("'"&amp; $A18 &amp; "'!" &amp;C$57)</f>
        <v>Riverside-Glenpool (81-523) Reconductor</v>
      </c>
      <c r="D18" s="180">
        <f t="shared" ca="1" si="0"/>
        <v>2009</v>
      </c>
      <c r="E18" s="181">
        <v>0</v>
      </c>
      <c r="F18" s="182">
        <f t="shared" ref="F18:F45" ca="1" si="1">INDIRECT("'"&amp; $A18 &amp; "'!" &amp;F$57)</f>
        <v>0</v>
      </c>
      <c r="G18" s="182">
        <f t="shared" ref="G18:G27" ca="1" si="2">+E18+F18</f>
        <v>0</v>
      </c>
      <c r="H18" s="183"/>
      <c r="I18" s="184">
        <f t="shared" ref="I18:I48" ca="1" si="3">INDIRECT("'"&amp; $A18 &amp; "'!" &amp;I$57)</f>
        <v>-2282.0888155979337</v>
      </c>
      <c r="J18" s="698">
        <v>103043.18880881846</v>
      </c>
      <c r="K18" s="185">
        <f t="shared" ref="K18:K45" si="4">J18/J$50*K$50</f>
        <v>104643.42536753346</v>
      </c>
      <c r="L18" s="181">
        <f t="shared" ref="L18:L27" si="5">+J18-K18</f>
        <v>-1600.236558714998</v>
      </c>
      <c r="M18" s="181"/>
      <c r="N18" s="182">
        <v>0</v>
      </c>
      <c r="O18" s="182">
        <v>0</v>
      </c>
      <c r="P18" s="182">
        <f t="shared" ref="P18:P26" si="6">+N18-O18</f>
        <v>0</v>
      </c>
      <c r="Q18" s="181">
        <f t="shared" ref="Q18:Q43" ca="1" si="7">+V18/$V$50 * $Q$50</f>
        <v>-699.23690701556995</v>
      </c>
      <c r="R18" s="186">
        <f t="shared" ref="R18:R27" ca="1" si="8">I18+L18+P18+Q18</f>
        <v>-4581.5622813285017</v>
      </c>
      <c r="S18" s="186"/>
      <c r="T18" s="187">
        <f t="shared" ref="T18:T27" ca="1" si="9">+G18+R18</f>
        <v>-4581.5622813285017</v>
      </c>
      <c r="U18" s="214">
        <v>-7238.7001298877185</v>
      </c>
      <c r="V18" s="188">
        <f t="shared" ref="V18:V27" ca="1" si="10">+I18+L18+P18</f>
        <v>-3882.3253743129317</v>
      </c>
      <c r="W18" s="159" t="str">
        <f>A18</f>
        <v>P.001</v>
      </c>
    </row>
    <row r="19" spans="1:23" ht="13">
      <c r="A19" s="156" t="s">
        <v>180</v>
      </c>
      <c r="B19" s="156" t="s">
        <v>117</v>
      </c>
      <c r="C19" s="179" t="str">
        <f t="shared" ca="1" si="0"/>
        <v>Craig Jct. to Broken Bow Dam 138 Rebuild (7.7mi)</v>
      </c>
      <c r="D19" s="180">
        <f t="shared" ca="1" si="0"/>
        <v>2009</v>
      </c>
      <c r="E19" s="181">
        <v>0</v>
      </c>
      <c r="F19" s="182">
        <f t="shared" ca="1" si="1"/>
        <v>0</v>
      </c>
      <c r="G19" s="182">
        <f t="shared" ca="1" si="2"/>
        <v>0</v>
      </c>
      <c r="H19" s="183"/>
      <c r="I19" s="184">
        <f t="shared" ca="1" si="3"/>
        <v>-7351.6310526816524</v>
      </c>
      <c r="J19" s="698">
        <v>539444.96279791568</v>
      </c>
      <c r="K19" s="185">
        <f t="shared" si="4"/>
        <v>547822.41657106602</v>
      </c>
      <c r="L19" s="181">
        <f t="shared" si="5"/>
        <v>-8377.4537731503369</v>
      </c>
      <c r="M19" s="181"/>
      <c r="N19" s="182">
        <v>0</v>
      </c>
      <c r="O19" s="182">
        <v>0</v>
      </c>
      <c r="P19" s="182">
        <f t="shared" si="6"/>
        <v>0</v>
      </c>
      <c r="Q19" s="181">
        <f t="shared" ca="1" si="7"/>
        <v>-2832.9301548422409</v>
      </c>
      <c r="R19" s="186">
        <f t="shared" ca="1" si="8"/>
        <v>-18562.01498067423</v>
      </c>
      <c r="S19" s="186"/>
      <c r="T19" s="189">
        <f t="shared" ca="1" si="9"/>
        <v>-18562.01498067423</v>
      </c>
      <c r="U19" s="214">
        <v>-45524.442453495882</v>
      </c>
      <c r="V19" s="188">
        <f t="shared" ca="1" si="10"/>
        <v>-15729.084825831989</v>
      </c>
      <c r="W19" s="159" t="str">
        <f t="shared" ref="W19:W25" si="11">A19</f>
        <v>P.002</v>
      </c>
    </row>
    <row r="20" spans="1:23" ht="25">
      <c r="A20" s="156" t="s">
        <v>181</v>
      </c>
      <c r="B20" s="156" t="s">
        <v>117</v>
      </c>
      <c r="C20" s="190" t="str">
        <f t="shared" ca="1" si="0"/>
        <v>WFEC New 138 kV Ties: Sayre to Erick (WFEC) Line &amp; Atoka and Tupelo station work</v>
      </c>
      <c r="D20" s="180">
        <f t="shared" ca="1" si="0"/>
        <v>2009</v>
      </c>
      <c r="E20" s="181">
        <v>0</v>
      </c>
      <c r="F20" s="182">
        <f t="shared" ca="1" si="1"/>
        <v>0</v>
      </c>
      <c r="G20" s="182">
        <f t="shared" ca="1" si="2"/>
        <v>0</v>
      </c>
      <c r="H20" s="183"/>
      <c r="I20" s="184">
        <f t="shared" ca="1" si="3"/>
        <v>-23370.271994275274</v>
      </c>
      <c r="J20" s="698">
        <v>1322457.2943811177</v>
      </c>
      <c r="K20" s="185">
        <f t="shared" si="4"/>
        <v>1342994.7460484409</v>
      </c>
      <c r="L20" s="181">
        <f t="shared" si="5"/>
        <v>-20537.451667323243</v>
      </c>
      <c r="M20" s="181"/>
      <c r="N20" s="182">
        <v>0</v>
      </c>
      <c r="O20" s="182">
        <v>0</v>
      </c>
      <c r="P20" s="182">
        <f t="shared" si="6"/>
        <v>0</v>
      </c>
      <c r="Q20" s="181">
        <f t="shared" ca="1" si="7"/>
        <v>-7908.1215321021155</v>
      </c>
      <c r="R20" s="186">
        <f t="shared" ca="1" si="8"/>
        <v>-51815.845193700632</v>
      </c>
      <c r="S20" s="186"/>
      <c r="T20" s="189">
        <f t="shared" ca="1" si="9"/>
        <v>-51815.845193700632</v>
      </c>
      <c r="U20" s="214">
        <v>-102780.82613763171</v>
      </c>
      <c r="V20" s="188">
        <f t="shared" ca="1" si="10"/>
        <v>-43907.723661598517</v>
      </c>
      <c r="W20" s="159" t="str">
        <f t="shared" si="11"/>
        <v>P.003</v>
      </c>
    </row>
    <row r="21" spans="1:23" ht="25">
      <c r="A21" s="156" t="s">
        <v>182</v>
      </c>
      <c r="B21" s="156" t="s">
        <v>117</v>
      </c>
      <c r="C21" s="190" t="str">
        <f t="shared" ca="1" si="0"/>
        <v>Cache-Snyder to Altus Jct. 138 kV line (w/2 ring bus stations)</v>
      </c>
      <c r="D21" s="180">
        <f t="shared" ca="1" si="0"/>
        <v>2008</v>
      </c>
      <c r="E21" s="181">
        <v>0</v>
      </c>
      <c r="F21" s="182">
        <f t="shared" ca="1" si="1"/>
        <v>0</v>
      </c>
      <c r="G21" s="182">
        <f t="shared" ca="1" si="2"/>
        <v>0</v>
      </c>
      <c r="H21" s="183"/>
      <c r="I21" s="184">
        <f t="shared" ca="1" si="3"/>
        <v>-40592.229171932908</v>
      </c>
      <c r="J21" s="698">
        <v>1638335.8612958833</v>
      </c>
      <c r="K21" s="185">
        <f t="shared" si="4"/>
        <v>1663778.833034304</v>
      </c>
      <c r="L21" s="181">
        <f t="shared" si="5"/>
        <v>-25442.97173842066</v>
      </c>
      <c r="M21" s="181"/>
      <c r="N21" s="182">
        <v>0</v>
      </c>
      <c r="O21" s="182">
        <v>0</v>
      </c>
      <c r="P21" s="182">
        <f t="shared" si="6"/>
        <v>0</v>
      </c>
      <c r="Q21" s="181">
        <f t="shared" ca="1" si="7"/>
        <v>-11893.451781299755</v>
      </c>
      <c r="R21" s="186">
        <f t="shared" ca="1" si="8"/>
        <v>-77928.652691653318</v>
      </c>
      <c r="S21" s="186"/>
      <c r="T21" s="189">
        <f t="shared" ca="1" si="9"/>
        <v>-77928.652691653318</v>
      </c>
      <c r="U21" s="214">
        <v>-109140.78803214937</v>
      </c>
      <c r="V21" s="188">
        <f t="shared" ca="1" si="10"/>
        <v>-66035.200910353567</v>
      </c>
      <c r="W21" s="159" t="str">
        <f t="shared" si="11"/>
        <v>P.004</v>
      </c>
    </row>
    <row r="22" spans="1:23" ht="13">
      <c r="A22" s="158" t="s">
        <v>183</v>
      </c>
      <c r="B22" s="156" t="s">
        <v>117</v>
      </c>
      <c r="C22" s="190" t="str">
        <f t="shared" ca="1" si="0"/>
        <v>Catoosa 138 kV Device (Cap. Bank)</v>
      </c>
      <c r="D22" s="180">
        <f t="shared" ca="1" si="0"/>
        <v>2006</v>
      </c>
      <c r="E22" s="181">
        <v>0</v>
      </c>
      <c r="F22" s="182">
        <f t="shared" ca="1" si="1"/>
        <v>0</v>
      </c>
      <c r="G22" s="182">
        <f t="shared" ca="1" si="2"/>
        <v>0</v>
      </c>
      <c r="H22" s="183"/>
      <c r="I22" s="184">
        <f t="shared" ca="1" si="3"/>
        <v>-655.16756632259785</v>
      </c>
      <c r="J22" s="698">
        <v>41896.863225083143</v>
      </c>
      <c r="K22" s="185">
        <f t="shared" si="4"/>
        <v>42547.511686211925</v>
      </c>
      <c r="L22" s="181">
        <f t="shared" si="5"/>
        <v>-650.64846112878149</v>
      </c>
      <c r="M22" s="181"/>
      <c r="N22" s="182">
        <v>0</v>
      </c>
      <c r="O22" s="182">
        <v>0</v>
      </c>
      <c r="P22" s="182">
        <f t="shared" si="6"/>
        <v>0</v>
      </c>
      <c r="Q22" s="181">
        <f t="shared" ca="1" si="7"/>
        <v>-235.18759303579776</v>
      </c>
      <c r="R22" s="186">
        <f t="shared" ca="1" si="8"/>
        <v>-1541.0036204871772</v>
      </c>
      <c r="S22" s="186"/>
      <c r="T22" s="189">
        <f t="shared" ca="1" si="9"/>
        <v>-1541.0036204871772</v>
      </c>
      <c r="U22" s="214">
        <v>-3356.6680977589085</v>
      </c>
      <c r="V22" s="188">
        <f t="shared" ca="1" si="10"/>
        <v>-1305.8160274513793</v>
      </c>
      <c r="W22" s="159" t="str">
        <f t="shared" si="11"/>
        <v>P.005</v>
      </c>
    </row>
    <row r="23" spans="1:23" ht="13">
      <c r="A23" s="156" t="s">
        <v>184</v>
      </c>
      <c r="B23" s="156" t="s">
        <v>117</v>
      </c>
      <c r="C23" s="190" t="str">
        <f t="shared" ca="1" si="0"/>
        <v>Pryor Junction 138/69 Upgrade Transf</v>
      </c>
      <c r="D23" s="180">
        <f t="shared" ca="1" si="0"/>
        <v>2008</v>
      </c>
      <c r="E23" s="181">
        <v>0</v>
      </c>
      <c r="F23" s="182">
        <f t="shared" ca="1" si="1"/>
        <v>0</v>
      </c>
      <c r="G23" s="182">
        <f t="shared" ca="1" si="2"/>
        <v>0</v>
      </c>
      <c r="H23" s="183"/>
      <c r="I23" s="184">
        <f t="shared" ca="1" si="3"/>
        <v>-3020.9824131128262</v>
      </c>
      <c r="J23" s="698">
        <v>171139.64874765623</v>
      </c>
      <c r="K23" s="185">
        <f t="shared" si="4"/>
        <v>173797.40736069524</v>
      </c>
      <c r="L23" s="181">
        <f t="shared" si="5"/>
        <v>-2657.7586130390118</v>
      </c>
      <c r="M23" s="181"/>
      <c r="N23" s="182">
        <v>0</v>
      </c>
      <c r="O23" s="182">
        <v>0</v>
      </c>
      <c r="P23" s="182">
        <f t="shared" si="6"/>
        <v>0</v>
      </c>
      <c r="Q23" s="181">
        <f t="shared" ca="1" si="7"/>
        <v>-1022.7852969617618</v>
      </c>
      <c r="R23" s="186">
        <f t="shared" ca="1" si="8"/>
        <v>-6701.5263231135996</v>
      </c>
      <c r="S23" s="186"/>
      <c r="T23" s="189">
        <f t="shared" ca="1" si="9"/>
        <v>-6701.5263231135996</v>
      </c>
      <c r="U23" s="214">
        <v>-13243.969674427899</v>
      </c>
      <c r="V23" s="188">
        <f t="shared" ca="1" si="10"/>
        <v>-5678.741026151838</v>
      </c>
      <c r="W23" s="159" t="str">
        <f t="shared" si="11"/>
        <v>P.006</v>
      </c>
    </row>
    <row r="24" spans="1:23" ht="13">
      <c r="A24" s="156" t="s">
        <v>185</v>
      </c>
      <c r="B24" s="156" t="s">
        <v>117</v>
      </c>
      <c r="C24" s="190" t="str">
        <f t="shared" ca="1" si="0"/>
        <v>Elk City - Elk City 69 kV line (CT Upgrades)*</v>
      </c>
      <c r="D24" s="180">
        <f t="shared" ca="1" si="0"/>
        <v>2007</v>
      </c>
      <c r="E24" s="181">
        <v>0</v>
      </c>
      <c r="F24" s="182">
        <f t="shared" ca="1" si="1"/>
        <v>0</v>
      </c>
      <c r="G24" s="182">
        <f t="shared" ca="1" si="2"/>
        <v>0</v>
      </c>
      <c r="H24" s="183"/>
      <c r="I24" s="184">
        <f t="shared" ca="1" si="3"/>
        <v>-185.14820742180746</v>
      </c>
      <c r="J24" s="698">
        <v>9436.5420242692708</v>
      </c>
      <c r="K24" s="185">
        <f t="shared" si="4"/>
        <v>9583.0893090500558</v>
      </c>
      <c r="L24" s="181">
        <f t="shared" si="5"/>
        <v>-146.54728478078505</v>
      </c>
      <c r="M24" s="181"/>
      <c r="N24" s="182">
        <v>0</v>
      </c>
      <c r="O24" s="182">
        <v>0</v>
      </c>
      <c r="P24" s="182">
        <f t="shared" si="6"/>
        <v>0</v>
      </c>
      <c r="Q24" s="181">
        <f t="shared" ca="1" si="7"/>
        <v>-59.740930415909297</v>
      </c>
      <c r="R24" s="186">
        <f t="shared" ca="1" si="8"/>
        <v>-391.43642261850181</v>
      </c>
      <c r="S24" s="191" t="s">
        <v>224</v>
      </c>
      <c r="T24" s="189">
        <f t="shared" ca="1" si="9"/>
        <v>-391.43642261850181</v>
      </c>
      <c r="U24" s="214">
        <v>-698.79717156387528</v>
      </c>
      <c r="V24" s="188">
        <f t="shared" ca="1" si="10"/>
        <v>-331.6954922025925</v>
      </c>
      <c r="W24" s="159" t="str">
        <f t="shared" si="11"/>
        <v>P.007</v>
      </c>
    </row>
    <row r="25" spans="1:23" ht="25">
      <c r="A25" s="156" t="s">
        <v>186</v>
      </c>
      <c r="B25" s="156" t="s">
        <v>117</v>
      </c>
      <c r="C25" s="190" t="str">
        <f t="shared" ca="1" si="0"/>
        <v>Weleetka &amp; Okmulgee Wavetrap replacement 81-805*</v>
      </c>
      <c r="D25" s="180">
        <f t="shared" ca="1" si="0"/>
        <v>2006</v>
      </c>
      <c r="E25" s="181">
        <v>0</v>
      </c>
      <c r="F25" s="182">
        <f t="shared" ca="1" si="1"/>
        <v>0</v>
      </c>
      <c r="G25" s="182">
        <f t="shared" ca="1" si="2"/>
        <v>0</v>
      </c>
      <c r="H25" s="183"/>
      <c r="I25" s="184">
        <f t="shared" ca="1" si="3"/>
        <v>-34.626105794550313</v>
      </c>
      <c r="J25" s="698">
        <v>6138.1187852944549</v>
      </c>
      <c r="K25" s="185">
        <f t="shared" si="4"/>
        <v>6233.442330649671</v>
      </c>
      <c r="L25" s="181">
        <f t="shared" si="5"/>
        <v>-95.323545355216083</v>
      </c>
      <c r="M25" s="181"/>
      <c r="N25" s="182">
        <v>0</v>
      </c>
      <c r="O25" s="182">
        <v>0</v>
      </c>
      <c r="P25" s="182">
        <f t="shared" si="6"/>
        <v>0</v>
      </c>
      <c r="Q25" s="181">
        <f t="shared" ca="1" si="7"/>
        <v>-23.404939920522697</v>
      </c>
      <c r="R25" s="186">
        <f t="shared" ca="1" si="8"/>
        <v>-153.3545910702891</v>
      </c>
      <c r="S25" s="191" t="s">
        <v>224</v>
      </c>
      <c r="T25" s="189">
        <f t="shared" ca="1" si="9"/>
        <v>-153.3545910702891</v>
      </c>
      <c r="U25" s="214">
        <v>-595.00260081512477</v>
      </c>
      <c r="V25" s="188">
        <f ca="1">+I25+L25+P25</f>
        <v>-129.9496511497664</v>
      </c>
      <c r="W25" s="159" t="str">
        <f t="shared" si="11"/>
        <v>P.008</v>
      </c>
    </row>
    <row r="26" spans="1:23" ht="13">
      <c r="A26" s="156" t="s">
        <v>187</v>
      </c>
      <c r="B26" s="156" t="s">
        <v>117</v>
      </c>
      <c r="C26" s="190" t="str">
        <f t="shared" ca="1" si="0"/>
        <v>Tulsa Southeast Upgrade (repl switches)*</v>
      </c>
      <c r="D26" s="180">
        <f t="shared" ca="1" si="0"/>
        <v>2007</v>
      </c>
      <c r="E26" s="181">
        <v>0</v>
      </c>
      <c r="F26" s="182">
        <f t="shared" ca="1" si="1"/>
        <v>0</v>
      </c>
      <c r="G26" s="182">
        <f t="shared" ca="1" si="2"/>
        <v>0</v>
      </c>
      <c r="H26" s="183"/>
      <c r="I26" s="184">
        <f t="shared" ca="1" si="3"/>
        <v>-56.412109781049367</v>
      </c>
      <c r="J26" s="698">
        <v>8105.969850589473</v>
      </c>
      <c r="K26" s="185">
        <f t="shared" si="4"/>
        <v>8231.8536615303547</v>
      </c>
      <c r="L26" s="181">
        <f t="shared" si="5"/>
        <v>-125.88381094088163</v>
      </c>
      <c r="M26" s="181"/>
      <c r="N26" s="182">
        <v>0</v>
      </c>
      <c r="O26" s="182">
        <v>0</v>
      </c>
      <c r="P26" s="182">
        <f t="shared" si="6"/>
        <v>0</v>
      </c>
      <c r="Q26" s="181">
        <f t="shared" ca="1" si="7"/>
        <v>-32.83290901132083</v>
      </c>
      <c r="R26" s="186">
        <f t="shared" ca="1" si="8"/>
        <v>-215.12882973325182</v>
      </c>
      <c r="S26" s="191" t="s">
        <v>224</v>
      </c>
      <c r="T26" s="189">
        <f t="shared" ca="1" si="9"/>
        <v>-215.12882973325182</v>
      </c>
      <c r="U26" s="214">
        <v>-771.65952536224449</v>
      </c>
      <c r="V26" s="188">
        <f t="shared" ca="1" si="10"/>
        <v>-182.295920721931</v>
      </c>
      <c r="W26" s="159" t="str">
        <f t="shared" ref="W26:W31" si="12">A26</f>
        <v>P.009</v>
      </c>
    </row>
    <row r="27" spans="1:23" ht="13">
      <c r="A27" s="156" t="s">
        <v>222</v>
      </c>
      <c r="B27" s="156" t="s">
        <v>117</v>
      </c>
      <c r="C27" s="192" t="str">
        <f t="shared" ca="1" si="0"/>
        <v>Wavetrap Clinton City-Foss Tap 69kV Ckt 1*</v>
      </c>
      <c r="D27" s="180">
        <f t="shared" ca="1" si="0"/>
        <v>2010</v>
      </c>
      <c r="E27" s="181">
        <v>0</v>
      </c>
      <c r="F27" s="182">
        <f t="shared" ca="1" si="1"/>
        <v>0</v>
      </c>
      <c r="G27" s="182">
        <f t="shared" ca="1" si="2"/>
        <v>0</v>
      </c>
      <c r="H27" s="183"/>
      <c r="I27" s="184">
        <f t="shared" ca="1" si="3"/>
        <v>-171.90993525027443</v>
      </c>
      <c r="J27" s="698">
        <v>11356.822287126644</v>
      </c>
      <c r="K27" s="185">
        <f t="shared" si="4"/>
        <v>11533.191074086524</v>
      </c>
      <c r="L27" s="181">
        <f t="shared" si="5"/>
        <v>-176.3687869598798</v>
      </c>
      <c r="M27" s="181"/>
      <c r="N27" s="182">
        <v>0</v>
      </c>
      <c r="O27" s="182">
        <v>0</v>
      </c>
      <c r="P27" s="182">
        <f t="shared" ref="P27:P33" si="13">+N27-O27</f>
        <v>0</v>
      </c>
      <c r="Q27" s="181">
        <f t="shared" ca="1" si="7"/>
        <v>-62.727698741804019</v>
      </c>
      <c r="R27" s="186">
        <f t="shared" ca="1" si="8"/>
        <v>-411.00642095195826</v>
      </c>
      <c r="S27" s="186"/>
      <c r="T27" s="189">
        <f t="shared" ca="1" si="9"/>
        <v>-411.00642095195826</v>
      </c>
      <c r="U27" s="214">
        <v>-933.39024355724132</v>
      </c>
      <c r="V27" s="188">
        <f t="shared" ca="1" si="10"/>
        <v>-348.27872221015423</v>
      </c>
      <c r="W27" s="159" t="str">
        <f t="shared" si="12"/>
        <v>P.010</v>
      </c>
    </row>
    <row r="28" spans="1:23" ht="13">
      <c r="A28" s="158" t="s">
        <v>230</v>
      </c>
      <c r="B28" s="156" t="s">
        <v>117</v>
      </c>
      <c r="C28" s="192" t="str">
        <f t="shared" ca="1" si="0"/>
        <v>Bartlesville SE to Coffeyville T Rebuild</v>
      </c>
      <c r="D28" s="180">
        <f t="shared" ca="1" si="0"/>
        <v>2011</v>
      </c>
      <c r="E28" s="181">
        <v>0</v>
      </c>
      <c r="F28" s="182">
        <f t="shared" ca="1" si="1"/>
        <v>0</v>
      </c>
      <c r="G28" s="182">
        <f t="shared" ref="G28:G33" ca="1" si="14">+E28+F28</f>
        <v>0</v>
      </c>
      <c r="H28" s="183"/>
      <c r="I28" s="184">
        <f t="shared" ca="1" si="3"/>
        <v>-3281.540823210933</v>
      </c>
      <c r="J28" s="698">
        <v>168108.2373387338</v>
      </c>
      <c r="K28" s="185">
        <f t="shared" si="4"/>
        <v>170718.91884345407</v>
      </c>
      <c r="L28" s="181">
        <f t="shared" ref="L28:L33" si="15">+J28-K28</f>
        <v>-2610.681504720269</v>
      </c>
      <c r="M28" s="181"/>
      <c r="N28" s="182">
        <v>0</v>
      </c>
      <c r="O28" s="182">
        <v>0</v>
      </c>
      <c r="P28" s="182">
        <f t="shared" si="13"/>
        <v>0</v>
      </c>
      <c r="Q28" s="181">
        <f t="shared" ca="1" si="7"/>
        <v>-1061.2349349414937</v>
      </c>
      <c r="R28" s="186">
        <f t="shared" ref="R28:R33" ca="1" si="16">I28+L28+P28+Q28</f>
        <v>-6953.4572628726955</v>
      </c>
      <c r="S28" s="186"/>
      <c r="T28" s="189">
        <f t="shared" ref="T28:T33" ca="1" si="17">+G28+R28</f>
        <v>-6953.4572628726955</v>
      </c>
      <c r="U28" s="214">
        <v>-13069.793342657391</v>
      </c>
      <c r="V28" s="188">
        <f t="shared" ref="V28:V33" ca="1" si="18">+I28+L28+P28</f>
        <v>-5892.222327931202</v>
      </c>
      <c r="W28" s="159" t="str">
        <f t="shared" si="12"/>
        <v>P.011</v>
      </c>
    </row>
    <row r="29" spans="1:23" ht="25">
      <c r="A29" s="158" t="s">
        <v>235</v>
      </c>
      <c r="B29" s="156" t="s">
        <v>117</v>
      </c>
      <c r="C29" s="192" t="str">
        <f t="shared" ca="1" si="0"/>
        <v>Canadian River - McAlester City 138 kV Line Conversion</v>
      </c>
      <c r="D29" s="180">
        <f t="shared" ca="1" si="0"/>
        <v>2012</v>
      </c>
      <c r="E29" s="181">
        <v>0</v>
      </c>
      <c r="F29" s="182">
        <f t="shared" ca="1" si="1"/>
        <v>0</v>
      </c>
      <c r="G29" s="182">
        <f t="shared" ca="1" si="14"/>
        <v>0</v>
      </c>
      <c r="H29" s="183"/>
      <c r="I29" s="184">
        <f t="shared" ca="1" si="3"/>
        <v>-10055.560392310435</v>
      </c>
      <c r="J29" s="698">
        <v>410007.3229122021</v>
      </c>
      <c r="K29" s="185">
        <f t="shared" si="4"/>
        <v>416374.6404908757</v>
      </c>
      <c r="L29" s="181">
        <f t="shared" si="15"/>
        <v>-6367.3175786735956</v>
      </c>
      <c r="M29" s="181"/>
      <c r="N29" s="182">
        <v>0</v>
      </c>
      <c r="O29" s="182">
        <v>0</v>
      </c>
      <c r="P29" s="182">
        <f t="shared" si="13"/>
        <v>0</v>
      </c>
      <c r="Q29" s="181">
        <f t="shared" ca="1" si="7"/>
        <v>-2957.8876805907289</v>
      </c>
      <c r="R29" s="186">
        <f t="shared" ca="1" si="16"/>
        <v>-19380.765651574759</v>
      </c>
      <c r="S29" s="186"/>
      <c r="T29" s="189">
        <f t="shared" ca="1" si="17"/>
        <v>-19380.765651574759</v>
      </c>
      <c r="U29" s="214">
        <v>-29284.400364141617</v>
      </c>
      <c r="V29" s="188">
        <f t="shared" ca="1" si="18"/>
        <v>-16422.877970984031</v>
      </c>
      <c r="W29" s="159" t="str">
        <f t="shared" si="12"/>
        <v>P.012</v>
      </c>
    </row>
    <row r="30" spans="1:23" ht="15.75" customHeight="1">
      <c r="A30" s="158" t="s">
        <v>237</v>
      </c>
      <c r="B30" s="156" t="s">
        <v>117</v>
      </c>
      <c r="C30" s="192" t="str">
        <f t="shared" ca="1" si="0"/>
        <v>CoffeyvilleT to Dearing 138 kv Rebuild - 1.1 mi*</v>
      </c>
      <c r="D30" s="180">
        <f t="shared" ca="1" si="0"/>
        <v>2010</v>
      </c>
      <c r="E30" s="181">
        <v>0</v>
      </c>
      <c r="F30" s="182">
        <f t="shared" ca="1" si="1"/>
        <v>0</v>
      </c>
      <c r="G30" s="182">
        <f t="shared" ca="1" si="14"/>
        <v>0</v>
      </c>
      <c r="H30" s="183"/>
      <c r="I30" s="184">
        <f t="shared" ca="1" si="3"/>
        <v>-54.852607318457103</v>
      </c>
      <c r="J30" s="698">
        <v>2706.8481008704339</v>
      </c>
      <c r="K30" s="185">
        <f t="shared" si="4"/>
        <v>2748.8848171247978</v>
      </c>
      <c r="L30" s="181">
        <f t="shared" si="15"/>
        <v>-42.03671625436391</v>
      </c>
      <c r="M30" s="181"/>
      <c r="N30" s="182">
        <v>0</v>
      </c>
      <c r="O30" s="182">
        <v>0</v>
      </c>
      <c r="P30" s="182">
        <f t="shared" si="13"/>
        <v>0</v>
      </c>
      <c r="Q30" s="181">
        <f t="shared" ca="1" si="7"/>
        <v>-17.450518543897111</v>
      </c>
      <c r="R30" s="186">
        <f t="shared" ca="1" si="16"/>
        <v>-114.33984211671813</v>
      </c>
      <c r="S30" s="186"/>
      <c r="T30" s="189">
        <f t="shared" ca="1" si="17"/>
        <v>-114.33984211671813</v>
      </c>
      <c r="U30" s="214">
        <v>-205.79997899163141</v>
      </c>
      <c r="V30" s="188">
        <f t="shared" ca="1" si="18"/>
        <v>-96.889323572821013</v>
      </c>
      <c r="W30" s="159" t="str">
        <f t="shared" si="12"/>
        <v>P.013</v>
      </c>
    </row>
    <row r="31" spans="1:23" ht="15.75" customHeight="1">
      <c r="A31" s="193" t="s">
        <v>240</v>
      </c>
      <c r="B31" s="156" t="s">
        <v>117</v>
      </c>
      <c r="C31" s="192" t="str">
        <f t="shared" ca="1" si="0"/>
        <v>Ashdown West - Craig Junction</v>
      </c>
      <c r="D31" s="180">
        <f t="shared" ca="1" si="0"/>
        <v>2013</v>
      </c>
      <c r="E31" s="181">
        <v>0</v>
      </c>
      <c r="F31" s="182">
        <f t="shared" ca="1" si="1"/>
        <v>0</v>
      </c>
      <c r="G31" s="182">
        <f t="shared" ca="1" si="14"/>
        <v>0</v>
      </c>
      <c r="H31" s="183"/>
      <c r="I31" s="184">
        <f t="shared" ca="1" si="3"/>
        <v>6951.0487630516436</v>
      </c>
      <c r="J31" s="698">
        <v>127895.52380026106</v>
      </c>
      <c r="K31" s="185">
        <f t="shared" si="4"/>
        <v>129881.71129355481</v>
      </c>
      <c r="L31" s="181">
        <f t="shared" si="15"/>
        <v>-1986.1874932937499</v>
      </c>
      <c r="M31" s="181"/>
      <c r="N31" s="182">
        <v>0</v>
      </c>
      <c r="O31" s="182">
        <v>0</v>
      </c>
      <c r="P31" s="182">
        <f t="shared" si="13"/>
        <v>0</v>
      </c>
      <c r="Q31" s="181">
        <f t="shared" ca="1" si="7"/>
        <v>894.21001675865148</v>
      </c>
      <c r="R31" s="186">
        <f t="shared" ca="1" si="16"/>
        <v>5859.0712865165451</v>
      </c>
      <c r="S31" s="186"/>
      <c r="T31" s="189">
        <f t="shared" ca="1" si="17"/>
        <v>5859.0712865165451</v>
      </c>
      <c r="U31" s="214">
        <v>-24913.442748210146</v>
      </c>
      <c r="V31" s="188">
        <f t="shared" ca="1" si="18"/>
        <v>4964.8612697578938</v>
      </c>
      <c r="W31" s="159" t="str">
        <f t="shared" si="12"/>
        <v>P.014</v>
      </c>
    </row>
    <row r="32" spans="1:23" ht="25.5" customHeight="1">
      <c r="A32" s="193" t="s">
        <v>253</v>
      </c>
      <c r="B32" s="156" t="s">
        <v>117</v>
      </c>
      <c r="C32" s="192" t="str">
        <f t="shared" ca="1" si="0"/>
        <v>Locust Grove to Lone Star 115 kV Rebuild 2.1 miles</v>
      </c>
      <c r="D32" s="180">
        <f t="shared" ca="1" si="0"/>
        <v>2014</v>
      </c>
      <c r="E32" s="181">
        <v>0</v>
      </c>
      <c r="F32" s="182">
        <f t="shared" ca="1" si="1"/>
        <v>0</v>
      </c>
      <c r="G32" s="182">
        <f t="shared" ca="1" si="14"/>
        <v>0</v>
      </c>
      <c r="H32" s="183"/>
      <c r="I32" s="184">
        <f t="shared" ca="1" si="3"/>
        <v>-5552.6230395628954</v>
      </c>
      <c r="J32" s="698">
        <v>284254.31406295352</v>
      </c>
      <c r="K32" s="185">
        <f t="shared" si="4"/>
        <v>288668.71690310579</v>
      </c>
      <c r="L32" s="181">
        <f t="shared" si="15"/>
        <v>-4414.4028401522664</v>
      </c>
      <c r="M32" s="181"/>
      <c r="N32" s="182">
        <v>0</v>
      </c>
      <c r="O32" s="182">
        <v>0</v>
      </c>
      <c r="P32" s="182">
        <f t="shared" si="13"/>
        <v>0</v>
      </c>
      <c r="Q32" s="181">
        <f t="shared" ca="1" si="7"/>
        <v>-1795.1386543714286</v>
      </c>
      <c r="R32" s="186">
        <f t="shared" ca="1" si="16"/>
        <v>-11762.164534086591</v>
      </c>
      <c r="S32" s="186"/>
      <c r="T32" s="189">
        <f t="shared" ca="1" si="17"/>
        <v>-11762.164534086591</v>
      </c>
      <c r="U32" s="214">
        <v>-21565.099164164581</v>
      </c>
      <c r="V32" s="188">
        <f t="shared" ca="1" si="18"/>
        <v>-9967.0258797151619</v>
      </c>
      <c r="W32" s="159" t="str">
        <f t="shared" ref="W32:W39" si="19">A32</f>
        <v>P.015</v>
      </c>
    </row>
    <row r="33" spans="1:23" ht="15.75" customHeight="1">
      <c r="A33" s="193" t="s">
        <v>254</v>
      </c>
      <c r="B33" s="156" t="s">
        <v>117</v>
      </c>
      <c r="C33" s="192" t="str">
        <f t="shared" ca="1" si="0"/>
        <v>Cornville Station Conversion</v>
      </c>
      <c r="D33" s="180">
        <f t="shared" ca="1" si="0"/>
        <v>2014</v>
      </c>
      <c r="E33" s="181">
        <v>0</v>
      </c>
      <c r="F33" s="182">
        <f t="shared" ca="1" si="1"/>
        <v>0</v>
      </c>
      <c r="G33" s="182">
        <f t="shared" ca="1" si="14"/>
        <v>0</v>
      </c>
      <c r="H33" s="183"/>
      <c r="I33" s="184">
        <f t="shared" ca="1" si="3"/>
        <v>-12575.20764867682</v>
      </c>
      <c r="J33" s="698">
        <v>650293.77659789007</v>
      </c>
      <c r="K33" s="185">
        <f t="shared" si="4"/>
        <v>660392.68645545968</v>
      </c>
      <c r="L33" s="181">
        <f t="shared" si="15"/>
        <v>-10098.909857569612</v>
      </c>
      <c r="M33" s="181"/>
      <c r="N33" s="182">
        <v>0</v>
      </c>
      <c r="O33" s="182">
        <v>0</v>
      </c>
      <c r="P33" s="182">
        <f t="shared" si="13"/>
        <v>0</v>
      </c>
      <c r="Q33" s="181">
        <f t="shared" ca="1" si="7"/>
        <v>-4083.7843987203623</v>
      </c>
      <c r="R33" s="186">
        <f t="shared" ca="1" si="16"/>
        <v>-26757.901904966795</v>
      </c>
      <c r="S33" s="186"/>
      <c r="T33" s="189">
        <f t="shared" ca="1" si="17"/>
        <v>-26757.901904966795</v>
      </c>
      <c r="U33" s="214">
        <v>-49677.814060493271</v>
      </c>
      <c r="V33" s="188">
        <f t="shared" ca="1" si="18"/>
        <v>-22674.117506246432</v>
      </c>
      <c r="W33" s="159" t="str">
        <f t="shared" si="19"/>
        <v>P.016</v>
      </c>
    </row>
    <row r="34" spans="1:23" ht="13">
      <c r="A34" s="193" t="s">
        <v>264</v>
      </c>
      <c r="B34" s="156" t="s">
        <v>117</v>
      </c>
      <c r="C34" s="192" t="str">
        <f t="shared" ca="1" si="0"/>
        <v>Grady Customer Connection</v>
      </c>
      <c r="D34" s="180">
        <f t="shared" ca="1" si="0"/>
        <v>2015</v>
      </c>
      <c r="E34" s="181">
        <v>0</v>
      </c>
      <c r="F34" s="182">
        <f t="shared" ca="1" si="1"/>
        <v>0</v>
      </c>
      <c r="G34" s="182">
        <f t="shared" ref="G34:G39" ca="1" si="20">+E34+F34</f>
        <v>0</v>
      </c>
      <c r="H34" s="183"/>
      <c r="I34" s="184">
        <f t="shared" ca="1" si="3"/>
        <v>-4360.9642805645708</v>
      </c>
      <c r="J34" s="698">
        <v>221591.87030533803</v>
      </c>
      <c r="K34" s="185">
        <f t="shared" si="4"/>
        <v>225033.14008819131</v>
      </c>
      <c r="L34" s="181">
        <f t="shared" ref="L34:L39" si="21">+J34-K34</f>
        <v>-3441.2697828532837</v>
      </c>
      <c r="M34" s="181"/>
      <c r="N34" s="182">
        <v>0</v>
      </c>
      <c r="O34" s="182">
        <v>0</v>
      </c>
      <c r="P34" s="182">
        <f t="shared" ref="P34:P39" si="22">+N34-O34</f>
        <v>0</v>
      </c>
      <c r="Q34" s="181">
        <f t="shared" ca="1" si="7"/>
        <v>-1405.242860480575</v>
      </c>
      <c r="R34" s="186">
        <f t="shared" ref="R34:R39" ca="1" si="23">I34+L34+P34+Q34</f>
        <v>-9207.47692389843</v>
      </c>
      <c r="S34" s="186"/>
      <c r="T34" s="189">
        <f t="shared" ref="T34:T39" ca="1" si="24">+G34+R34</f>
        <v>-9207.47692389843</v>
      </c>
      <c r="U34" s="713">
        <v>-16854.30386809129</v>
      </c>
      <c r="V34" s="188">
        <f t="shared" ref="V34:V39" ca="1" si="25">+I34+L34+P34</f>
        <v>-7802.2340634178545</v>
      </c>
      <c r="W34" s="159" t="str">
        <f t="shared" si="19"/>
        <v>P.017</v>
      </c>
    </row>
    <row r="35" spans="1:23" ht="13">
      <c r="A35" s="193" t="s">
        <v>265</v>
      </c>
      <c r="B35" s="156" t="s">
        <v>117</v>
      </c>
      <c r="C35" s="192" t="str">
        <f t="shared" ca="1" si="0"/>
        <v>Darlington-Red Rock 138 kV line</v>
      </c>
      <c r="D35" s="180">
        <f t="shared" ca="1" si="0"/>
        <v>2014</v>
      </c>
      <c r="E35" s="181">
        <v>0</v>
      </c>
      <c r="F35" s="195">
        <f t="shared" ca="1" si="1"/>
        <v>0</v>
      </c>
      <c r="G35" s="195">
        <f t="shared" ca="1" si="20"/>
        <v>0</v>
      </c>
      <c r="H35" s="196"/>
      <c r="I35" s="184">
        <f t="shared" ca="1" si="3"/>
        <v>-1788.4336327707861</v>
      </c>
      <c r="J35" s="698">
        <v>221780.70907754998</v>
      </c>
      <c r="K35" s="197">
        <f t="shared" si="4"/>
        <v>225224.91148225332</v>
      </c>
      <c r="L35" s="198">
        <f t="shared" si="21"/>
        <v>-3444.2024047033337</v>
      </c>
      <c r="M35" s="198"/>
      <c r="N35" s="195">
        <v>0</v>
      </c>
      <c r="O35" s="195">
        <v>0</v>
      </c>
      <c r="P35" s="195">
        <f t="shared" si="22"/>
        <v>0</v>
      </c>
      <c r="Q35" s="198">
        <f t="shared" ca="1" si="7"/>
        <v>-942.43832899480526</v>
      </c>
      <c r="R35" s="199">
        <f t="shared" ca="1" si="23"/>
        <v>-6175.0743664689253</v>
      </c>
      <c r="S35" s="199"/>
      <c r="T35" s="200">
        <f t="shared" ca="1" si="24"/>
        <v>-6175.0743664689253</v>
      </c>
      <c r="U35" s="713">
        <v>-21097.719963197123</v>
      </c>
      <c r="V35" s="188">
        <f t="shared" ca="1" si="25"/>
        <v>-5232.6360374741198</v>
      </c>
      <c r="W35" s="159" t="str">
        <f t="shared" si="19"/>
        <v>P.018</v>
      </c>
    </row>
    <row r="36" spans="1:23" ht="13">
      <c r="A36" s="193" t="s">
        <v>270</v>
      </c>
      <c r="B36" s="156" t="s">
        <v>117</v>
      </c>
      <c r="C36" s="192" t="str">
        <f t="shared" ca="1" si="0"/>
        <v>Valliant-NW Texarkana 345 kV</v>
      </c>
      <c r="D36" s="180">
        <f t="shared" ca="1" si="0"/>
        <v>2017</v>
      </c>
      <c r="E36" s="181">
        <v>0</v>
      </c>
      <c r="F36" s="195">
        <f t="shared" ca="1" si="1"/>
        <v>0</v>
      </c>
      <c r="G36" s="195">
        <f t="shared" ca="1" si="20"/>
        <v>0</v>
      </c>
      <c r="H36" s="196"/>
      <c r="I36" s="184">
        <f t="shared" ca="1" si="3"/>
        <v>-5441.9863530079019</v>
      </c>
      <c r="J36" s="698">
        <v>180190.2781922807</v>
      </c>
      <c r="K36" s="197">
        <f t="shared" si="4"/>
        <v>182988.59095823459</v>
      </c>
      <c r="L36" s="198">
        <f t="shared" si="21"/>
        <v>-2798.3127659538877</v>
      </c>
      <c r="M36" s="198"/>
      <c r="N36" s="195">
        <v>0</v>
      </c>
      <c r="O36" s="195">
        <v>0</v>
      </c>
      <c r="P36" s="195">
        <f t="shared" si="22"/>
        <v>0</v>
      </c>
      <c r="Q36" s="198">
        <f t="shared" ca="1" si="7"/>
        <v>-1484.1417741411419</v>
      </c>
      <c r="R36" s="199">
        <f t="shared" ca="1" si="23"/>
        <v>-9724.440893102932</v>
      </c>
      <c r="S36" s="199"/>
      <c r="T36" s="200">
        <f t="shared" ca="1" si="24"/>
        <v>-9724.440893102932</v>
      </c>
      <c r="U36" s="713">
        <v>-10914.586330398437</v>
      </c>
      <c r="V36" s="188">
        <f t="shared" ca="1" si="25"/>
        <v>-8240.2991189617896</v>
      </c>
      <c r="W36" s="159" t="str">
        <f t="shared" si="19"/>
        <v>P.019</v>
      </c>
    </row>
    <row r="37" spans="1:23" ht="13">
      <c r="A37" s="193" t="s">
        <v>271</v>
      </c>
      <c r="B37" s="156" t="s">
        <v>117</v>
      </c>
      <c r="C37" s="192" t="str">
        <f t="shared" ca="1" si="0"/>
        <v>Sayre 138 kV Capacitor Bank Addition</v>
      </c>
      <c r="D37" s="180">
        <f t="shared" ca="1" si="0"/>
        <v>2018</v>
      </c>
      <c r="E37" s="181">
        <v>0</v>
      </c>
      <c r="F37" s="182">
        <f t="shared" ca="1" si="1"/>
        <v>0</v>
      </c>
      <c r="G37" s="182">
        <f t="shared" ca="1" si="20"/>
        <v>0</v>
      </c>
      <c r="H37" s="183"/>
      <c r="I37" s="184">
        <f t="shared" ca="1" si="3"/>
        <v>-9435.5243002093339</v>
      </c>
      <c r="J37" s="698">
        <v>273987.67406526237</v>
      </c>
      <c r="K37" s="197">
        <f t="shared" si="4"/>
        <v>278242.63839376345</v>
      </c>
      <c r="L37" s="198">
        <f t="shared" si="21"/>
        <v>-4254.9643285010825</v>
      </c>
      <c r="M37" s="198"/>
      <c r="N37" s="195">
        <v>0</v>
      </c>
      <c r="O37" s="195">
        <v>0</v>
      </c>
      <c r="P37" s="195">
        <f t="shared" si="22"/>
        <v>0</v>
      </c>
      <c r="Q37" s="198">
        <f t="shared" ca="1" si="7"/>
        <v>-2465.7631706011889</v>
      </c>
      <c r="R37" s="199">
        <f t="shared" ca="1" si="23"/>
        <v>-16156.251799311605</v>
      </c>
      <c r="S37" s="199"/>
      <c r="T37" s="200">
        <f t="shared" ca="1" si="24"/>
        <v>-16156.251799311605</v>
      </c>
      <c r="U37" s="713">
        <v>-15172.244222721491</v>
      </c>
      <c r="V37" s="188">
        <f t="shared" ca="1" si="25"/>
        <v>-13690.488628710416</v>
      </c>
      <c r="W37" s="159" t="str">
        <f t="shared" si="19"/>
        <v>P.020</v>
      </c>
    </row>
    <row r="38" spans="1:23" ht="13">
      <c r="A38" s="193" t="s">
        <v>272</v>
      </c>
      <c r="B38" s="156" t="s">
        <v>117</v>
      </c>
      <c r="C38" s="192" t="str">
        <f t="shared" ca="1" si="0"/>
        <v>Darlington-Roman Nose 138 kV</v>
      </c>
      <c r="D38" s="180">
        <f t="shared" ca="1" si="0"/>
        <v>2017</v>
      </c>
      <c r="E38" s="181">
        <v>0</v>
      </c>
      <c r="F38" s="182">
        <f t="shared" ca="1" si="1"/>
        <v>0</v>
      </c>
      <c r="G38" s="182">
        <f t="shared" ca="1" si="20"/>
        <v>0</v>
      </c>
      <c r="H38" s="183"/>
      <c r="I38" s="184">
        <f t="shared" ca="1" si="3"/>
        <v>-1831.5327441909903</v>
      </c>
      <c r="J38" s="698">
        <v>44791.454090092295</v>
      </c>
      <c r="K38" s="197">
        <f t="shared" si="4"/>
        <v>45487.054868577092</v>
      </c>
      <c r="L38" s="198">
        <f t="shared" si="21"/>
        <v>-695.60077848479705</v>
      </c>
      <c r="M38" s="198"/>
      <c r="N38" s="195">
        <v>0</v>
      </c>
      <c r="O38" s="195">
        <v>0</v>
      </c>
      <c r="P38" s="195">
        <f t="shared" si="22"/>
        <v>0</v>
      </c>
      <c r="Q38" s="198">
        <f t="shared" ca="1" si="7"/>
        <v>-455.15634513861494</v>
      </c>
      <c r="R38" s="199">
        <f t="shared" ca="1" si="23"/>
        <v>-2982.2898678144024</v>
      </c>
      <c r="S38" s="199"/>
      <c r="T38" s="200">
        <f t="shared" ca="1" si="24"/>
        <v>-2982.2898678144024</v>
      </c>
      <c r="U38" s="713">
        <v>-1954.5108711824626</v>
      </c>
      <c r="V38" s="188">
        <f t="shared" ca="1" si="25"/>
        <v>-2527.1335226757874</v>
      </c>
      <c r="W38" s="159" t="str">
        <f t="shared" si="19"/>
        <v>P.021</v>
      </c>
    </row>
    <row r="39" spans="1:23" ht="13">
      <c r="A39" s="193" t="s">
        <v>273</v>
      </c>
      <c r="B39" s="156" t="s">
        <v>117</v>
      </c>
      <c r="C39" s="192" t="str">
        <f t="shared" ca="1" si="0"/>
        <v>Northeastern Station 138 kV Terminal Upgrades</v>
      </c>
      <c r="D39" s="180">
        <f t="shared" ca="1" si="0"/>
        <v>2018</v>
      </c>
      <c r="E39" s="181">
        <v>0</v>
      </c>
      <c r="F39" s="182">
        <f t="shared" ca="1" si="1"/>
        <v>0</v>
      </c>
      <c r="G39" s="182">
        <f t="shared" ca="1" si="20"/>
        <v>0</v>
      </c>
      <c r="H39" s="183"/>
      <c r="I39" s="184">
        <f t="shared" ca="1" si="3"/>
        <v>-1011.4462633435105</v>
      </c>
      <c r="J39" s="698">
        <v>33693.532404587721</v>
      </c>
      <c r="K39" s="197">
        <f t="shared" si="4"/>
        <v>34216.785061743991</v>
      </c>
      <c r="L39" s="198">
        <f t="shared" si="21"/>
        <v>-523.25265715627029</v>
      </c>
      <c r="M39" s="198"/>
      <c r="N39" s="195">
        <v>0</v>
      </c>
      <c r="O39" s="195">
        <v>0</v>
      </c>
      <c r="P39" s="195">
        <f t="shared" si="22"/>
        <v>0</v>
      </c>
      <c r="Q39" s="198">
        <f t="shared" ca="1" si="7"/>
        <v>-276.41117704110877</v>
      </c>
      <c r="R39" s="199">
        <f t="shared" ca="1" si="23"/>
        <v>-1811.1100975408895</v>
      </c>
      <c r="S39" s="199"/>
      <c r="T39" s="200">
        <f t="shared" ca="1" si="24"/>
        <v>-1811.1100975408895</v>
      </c>
      <c r="U39" s="713">
        <v>-2059.5872552440933</v>
      </c>
      <c r="V39" s="188">
        <f t="shared" ca="1" si="25"/>
        <v>-1534.6989204997808</v>
      </c>
      <c r="W39" s="159" t="str">
        <f t="shared" si="19"/>
        <v>P.022</v>
      </c>
    </row>
    <row r="40" spans="1:23" ht="13">
      <c r="A40" s="193" t="s">
        <v>305</v>
      </c>
      <c r="B40" s="156" t="s">
        <v>117</v>
      </c>
      <c r="C40" s="192" t="str">
        <f t="shared" ca="1" si="0"/>
        <v>Elk City 138KV Move Load</v>
      </c>
      <c r="D40" s="180">
        <f t="shared" ca="1" si="0"/>
        <v>2018</v>
      </c>
      <c r="E40" s="181">
        <v>0</v>
      </c>
      <c r="F40" s="182">
        <f t="shared" ca="1" si="1"/>
        <v>0</v>
      </c>
      <c r="G40" s="182">
        <f t="shared" ref="G40:G45" ca="1" si="26">+E40+F40</f>
        <v>0</v>
      </c>
      <c r="H40" s="183"/>
      <c r="I40" s="184">
        <f t="shared" ca="1" si="3"/>
        <v>-2134.1635056886589</v>
      </c>
      <c r="J40" s="698">
        <v>158186.54926574303</v>
      </c>
      <c r="K40" s="197">
        <f t="shared" si="4"/>
        <v>160643.14928131193</v>
      </c>
      <c r="L40" s="198">
        <f t="shared" ref="L40:L45" si="27">+J40-K40</f>
        <v>-2456.6000155688962</v>
      </c>
      <c r="M40" s="198"/>
      <c r="N40" s="195">
        <v>0</v>
      </c>
      <c r="O40" s="195">
        <v>0</v>
      </c>
      <c r="P40" s="195">
        <f t="shared" ref="P40:P45" si="28">+N40-O40</f>
        <v>0</v>
      </c>
      <c r="Q40" s="198">
        <f t="shared" ca="1" si="7"/>
        <v>-826.83211115764072</v>
      </c>
      <c r="R40" s="199">
        <f t="shared" ref="R40:R45" ca="1" si="29">I40+L40+P40+Q40</f>
        <v>-5417.5956324151957</v>
      </c>
      <c r="S40" s="199"/>
      <c r="T40" s="200">
        <f t="shared" ref="T40:T45" ca="1" si="30">+G40+R40</f>
        <v>-5417.5956324151957</v>
      </c>
      <c r="U40" s="713">
        <v>-11200.162552562211</v>
      </c>
      <c r="V40" s="188">
        <f t="shared" ref="V40:V46" ca="1" si="31">+I40+L40+P40</f>
        <v>-4590.7635212575551</v>
      </c>
      <c r="W40" s="159" t="str">
        <f t="shared" ref="W40:W46" si="32">A40</f>
        <v>P.023</v>
      </c>
    </row>
    <row r="41" spans="1:23" ht="13">
      <c r="A41" s="193" t="s">
        <v>306</v>
      </c>
      <c r="B41" s="156" t="s">
        <v>117</v>
      </c>
      <c r="C41" s="192" t="str">
        <f t="shared" ca="1" si="0"/>
        <v>Duncan-Comanche Tap 69 KV Rebuild</v>
      </c>
      <c r="D41" s="180">
        <f t="shared" ca="1" si="0"/>
        <v>2018</v>
      </c>
      <c r="E41" s="181">
        <v>0</v>
      </c>
      <c r="F41" s="182">
        <f t="shared" ca="1" si="1"/>
        <v>0</v>
      </c>
      <c r="G41" s="182">
        <f t="shared" ca="1" si="26"/>
        <v>0</v>
      </c>
      <c r="H41" s="183"/>
      <c r="I41" s="184">
        <f t="shared" ca="1" si="3"/>
        <v>-6199.6118496077252</v>
      </c>
      <c r="J41" s="698">
        <v>185869.93035118145</v>
      </c>
      <c r="K41" s="197">
        <f t="shared" si="4"/>
        <v>188756.44678329246</v>
      </c>
      <c r="L41" s="198">
        <f t="shared" si="27"/>
        <v>-2886.516432111006</v>
      </c>
      <c r="M41" s="198"/>
      <c r="N41" s="195">
        <v>0</v>
      </c>
      <c r="O41" s="195">
        <v>0</v>
      </c>
      <c r="P41" s="195">
        <f t="shared" si="28"/>
        <v>0</v>
      </c>
      <c r="Q41" s="198">
        <f t="shared" ca="1" si="7"/>
        <v>-1636.4821656866086</v>
      </c>
      <c r="R41" s="199">
        <f t="shared" ca="1" si="29"/>
        <v>-10722.610447405339</v>
      </c>
      <c r="S41" s="199"/>
      <c r="T41" s="200">
        <f t="shared" ca="1" si="30"/>
        <v>-10722.610447405339</v>
      </c>
      <c r="U41" s="713">
        <v>-10545.923345972114</v>
      </c>
      <c r="V41" s="188">
        <f t="shared" ca="1" si="31"/>
        <v>-9086.1282817187312</v>
      </c>
      <c r="W41" s="159" t="str">
        <f t="shared" si="32"/>
        <v>P.024</v>
      </c>
    </row>
    <row r="42" spans="1:23" ht="13">
      <c r="A42" s="193" t="s">
        <v>311</v>
      </c>
      <c r="B42" s="156" t="s">
        <v>117</v>
      </c>
      <c r="C42" s="192" t="str">
        <f t="shared" ca="1" si="0"/>
        <v>Fort Towson-Valliant Line Rebuild</v>
      </c>
      <c r="D42" s="180">
        <f t="shared" ca="1" si="0"/>
        <v>2018</v>
      </c>
      <c r="E42" s="181">
        <v>0</v>
      </c>
      <c r="F42" s="182">
        <f t="shared" ca="1" si="1"/>
        <v>0</v>
      </c>
      <c r="G42" s="182">
        <f t="shared" ca="1" si="26"/>
        <v>0</v>
      </c>
      <c r="H42" s="196"/>
      <c r="I42" s="184">
        <f t="shared" ca="1" si="3"/>
        <v>324.703600492634</v>
      </c>
      <c r="J42" s="698">
        <v>39749.679024906392</v>
      </c>
      <c r="K42" s="197">
        <f t="shared" si="4"/>
        <v>40366.982218918165</v>
      </c>
      <c r="L42" s="198">
        <f t="shared" si="27"/>
        <v>-617.30319401177258</v>
      </c>
      <c r="M42" s="198"/>
      <c r="N42" s="195">
        <v>0</v>
      </c>
      <c r="O42" s="195">
        <v>0</v>
      </c>
      <c r="P42" s="195">
        <f t="shared" si="28"/>
        <v>0</v>
      </c>
      <c r="Q42" s="198">
        <f t="shared" ca="1" si="7"/>
        <v>-52.699455877662899</v>
      </c>
      <c r="R42" s="199">
        <f t="shared" ca="1" si="29"/>
        <v>-345.29904939680148</v>
      </c>
      <c r="S42" s="199"/>
      <c r="T42" s="200">
        <f t="shared" ca="1" si="30"/>
        <v>-345.29904939680148</v>
      </c>
      <c r="U42" s="713">
        <v>-4885.2758649542811</v>
      </c>
      <c r="V42" s="188">
        <f t="shared" ca="1" si="31"/>
        <v>-292.59959351913858</v>
      </c>
      <c r="W42" s="159" t="str">
        <f t="shared" si="32"/>
        <v>P.025</v>
      </c>
    </row>
    <row r="43" spans="1:23" ht="13">
      <c r="A43" s="193" t="s">
        <v>325</v>
      </c>
      <c r="B43" s="156" t="s">
        <v>117</v>
      </c>
      <c r="C43" s="612" t="str">
        <f t="shared" ca="1" si="0"/>
        <v>Tulsa Southeast - E. 61st St 138 kV Rebuild</v>
      </c>
      <c r="D43" s="180">
        <f t="shared" ca="1" si="0"/>
        <v>2019</v>
      </c>
      <c r="E43" s="181">
        <v>0</v>
      </c>
      <c r="F43" s="182">
        <f t="shared" ca="1" si="1"/>
        <v>0</v>
      </c>
      <c r="G43" s="182">
        <f t="shared" ca="1" si="26"/>
        <v>0</v>
      </c>
      <c r="H43" s="196"/>
      <c r="I43" s="184">
        <f t="shared" ca="1" si="3"/>
        <v>-34678.999893241329</v>
      </c>
      <c r="J43" s="698">
        <v>984275.19337236206</v>
      </c>
      <c r="K43" s="197">
        <f t="shared" si="4"/>
        <v>999560.75631425669</v>
      </c>
      <c r="L43" s="198">
        <f t="shared" si="27"/>
        <v>-15285.562941894634</v>
      </c>
      <c r="M43" s="198"/>
      <c r="N43" s="195">
        <v>0</v>
      </c>
      <c r="O43" s="195">
        <v>0</v>
      </c>
      <c r="P43" s="195">
        <f t="shared" si="28"/>
        <v>0</v>
      </c>
      <c r="Q43" s="198">
        <f t="shared" ca="1" si="7"/>
        <v>-8999.005237526877</v>
      </c>
      <c r="R43" s="199">
        <f t="shared" ca="1" si="29"/>
        <v>-58963.568072662842</v>
      </c>
      <c r="S43" s="199"/>
      <c r="T43" s="200">
        <f t="shared" ca="1" si="30"/>
        <v>-58963.568072662842</v>
      </c>
      <c r="U43" s="713">
        <v>233714.66447054094</v>
      </c>
      <c r="V43" s="188">
        <f t="shared" ca="1" si="31"/>
        <v>-49964.562835135963</v>
      </c>
      <c r="W43" s="159" t="str">
        <f t="shared" si="32"/>
        <v>P.026</v>
      </c>
    </row>
    <row r="44" spans="1:23" ht="13">
      <c r="A44" s="193" t="s">
        <v>326</v>
      </c>
      <c r="B44" s="156" t="s">
        <v>117</v>
      </c>
      <c r="C44" s="613" t="str">
        <f t="shared" ca="1" si="0"/>
        <v>Broken Arrow North-Lynn Lane East 138 kV</v>
      </c>
      <c r="D44" s="180">
        <f t="shared" ca="1" si="0"/>
        <v>2019</v>
      </c>
      <c r="E44" s="181">
        <v>0</v>
      </c>
      <c r="F44" s="182">
        <f t="shared" ca="1" si="1"/>
        <v>0</v>
      </c>
      <c r="G44" s="182">
        <f t="shared" ca="1" si="26"/>
        <v>0</v>
      </c>
      <c r="H44" s="196"/>
      <c r="I44" s="184">
        <f t="shared" ca="1" si="3"/>
        <v>-34147.683719234541</v>
      </c>
      <c r="J44" s="698">
        <v>710452.40408621239</v>
      </c>
      <c r="K44" s="197">
        <f t="shared" si="4"/>
        <v>721485.56332156027</v>
      </c>
      <c r="L44" s="198">
        <f t="shared" si="27"/>
        <v>-11033.159235347877</v>
      </c>
      <c r="M44" s="198"/>
      <c r="N44" s="195">
        <v>0</v>
      </c>
      <c r="O44" s="195">
        <v>0</v>
      </c>
      <c r="P44" s="195">
        <f t="shared" si="28"/>
        <v>0</v>
      </c>
      <c r="Q44" s="198">
        <f ca="1">+V44/$V$50 * $Q$50</f>
        <v>-8137.4201896999366</v>
      </c>
      <c r="R44" s="199">
        <f t="shared" ca="1" si="29"/>
        <v>-53318.263144282355</v>
      </c>
      <c r="S44" s="199"/>
      <c r="T44" s="200">
        <f t="shared" ca="1" si="30"/>
        <v>-53318.263144282355</v>
      </c>
      <c r="U44" s="713">
        <v>-21282.630949851118</v>
      </c>
      <c r="V44" s="188">
        <f t="shared" ca="1" si="31"/>
        <v>-45180.842954582418</v>
      </c>
      <c r="W44" s="159" t="str">
        <f t="shared" si="32"/>
        <v>P.027</v>
      </c>
    </row>
    <row r="45" spans="1:23" ht="13">
      <c r="A45" s="193" t="s">
        <v>332</v>
      </c>
      <c r="B45" s="156" t="s">
        <v>117</v>
      </c>
      <c r="C45" s="615" t="str">
        <f t="shared" ca="1" si="0"/>
        <v>Keystone Dam - Wekiwa 138 kV</v>
      </c>
      <c r="D45" s="180">
        <f t="shared" ca="1" si="0"/>
        <v>2020</v>
      </c>
      <c r="E45" s="181">
        <v>0</v>
      </c>
      <c r="F45" s="182">
        <f t="shared" ca="1" si="1"/>
        <v>0</v>
      </c>
      <c r="G45" s="182">
        <f t="shared" ca="1" si="26"/>
        <v>0</v>
      </c>
      <c r="H45" s="196"/>
      <c r="I45" s="184">
        <f t="shared" ca="1" si="3"/>
        <v>-28962.384826484311</v>
      </c>
      <c r="J45" s="698">
        <v>396065.46449389466</v>
      </c>
      <c r="K45" s="197">
        <f t="shared" si="4"/>
        <v>402216.26828067855</v>
      </c>
      <c r="L45" s="198">
        <f t="shared" si="27"/>
        <v>-6150.8037867838866</v>
      </c>
      <c r="M45" s="198"/>
      <c r="N45" s="195">
        <v>0</v>
      </c>
      <c r="O45" s="195">
        <v>0</v>
      </c>
      <c r="P45" s="195">
        <f t="shared" si="28"/>
        <v>0</v>
      </c>
      <c r="Q45" s="198">
        <f ca="1">+V45/$V$50 * $Q$50</f>
        <v>-6324.1575690293894</v>
      </c>
      <c r="R45" s="199">
        <f t="shared" ca="1" si="29"/>
        <v>-41437.346182297588</v>
      </c>
      <c r="S45" s="199"/>
      <c r="T45" s="200">
        <f t="shared" ca="1" si="30"/>
        <v>-41437.346182297588</v>
      </c>
      <c r="U45" s="713">
        <v>-71484.906253567198</v>
      </c>
      <c r="V45" s="188">
        <f t="shared" ca="1" si="31"/>
        <v>-35113.188613268198</v>
      </c>
      <c r="W45" s="159" t="str">
        <f t="shared" si="32"/>
        <v>P.028</v>
      </c>
    </row>
    <row r="46" spans="1:23" ht="13">
      <c r="A46" s="193" t="s">
        <v>338</v>
      </c>
      <c r="B46" s="156" t="s">
        <v>117</v>
      </c>
      <c r="C46" s="625" t="str">
        <f t="shared" ca="1" si="0"/>
        <v>Tulsa SE - S Hudson 138 kV</v>
      </c>
      <c r="D46" s="180">
        <f t="shared" ca="1" si="0"/>
        <v>2022</v>
      </c>
      <c r="E46" s="181"/>
      <c r="F46" s="182"/>
      <c r="G46" s="182"/>
      <c r="H46" s="196"/>
      <c r="I46" s="184">
        <f t="shared" ca="1" si="3"/>
        <v>4934.444031153027</v>
      </c>
      <c r="J46" s="698">
        <v>0</v>
      </c>
      <c r="K46" s="197">
        <f t="shared" ref="K46" si="33">J46/J$50*K$50</f>
        <v>0</v>
      </c>
      <c r="L46" s="198">
        <f t="shared" ref="L46" si="34">+J46-K46</f>
        <v>0</v>
      </c>
      <c r="M46" s="198"/>
      <c r="N46" s="195"/>
      <c r="O46" s="195"/>
      <c r="P46" s="195"/>
      <c r="Q46" s="198">
        <f ca="1">+V46/$V$50 * $Q$50</f>
        <v>888.73163620282662</v>
      </c>
      <c r="R46" s="199">
        <f t="shared" ref="R46" ca="1" si="35">I46+L46+P46+Q46</f>
        <v>5823.1756673558539</v>
      </c>
      <c r="S46" s="199"/>
      <c r="T46" s="200">
        <f t="shared" ref="T46" ca="1" si="36">+G46+R46</f>
        <v>5823.1756673558539</v>
      </c>
      <c r="U46" s="713">
        <v>-122870.59577021832</v>
      </c>
      <c r="V46" s="188">
        <f t="shared" ca="1" si="31"/>
        <v>4934.444031153027</v>
      </c>
      <c r="W46" s="159" t="str">
        <f t="shared" si="32"/>
        <v>P.029</v>
      </c>
    </row>
    <row r="47" spans="1:23" ht="13">
      <c r="A47" s="193" t="s">
        <v>346</v>
      </c>
      <c r="B47" s="156" t="s">
        <v>117</v>
      </c>
      <c r="C47" s="630" t="str">
        <f t="shared" ca="1" si="0"/>
        <v>Tulsa SE - E 21st St Tap 138 kV</v>
      </c>
      <c r="D47" s="180">
        <f t="shared" ca="1" si="0"/>
        <v>2021</v>
      </c>
      <c r="E47" s="181"/>
      <c r="F47" s="182"/>
      <c r="G47" s="182"/>
      <c r="H47" s="196"/>
      <c r="I47" s="184">
        <f t="shared" ca="1" si="3"/>
        <v>-29021.451329271222</v>
      </c>
      <c r="J47" s="698">
        <v>335010.5888033004</v>
      </c>
      <c r="K47" s="197">
        <f t="shared" ref="K47" si="37">J47/J$50*K$50</f>
        <v>340213.2246878937</v>
      </c>
      <c r="L47" s="198">
        <f t="shared" ref="L47" si="38">+J47-K47</f>
        <v>-5202.6358845932991</v>
      </c>
      <c r="M47" s="198"/>
      <c r="N47" s="195"/>
      <c r="O47" s="195"/>
      <c r="P47" s="195"/>
      <c r="Q47" s="198">
        <f ca="1">+V47/$V$50 * $Q$50</f>
        <v>-6164.0235120913449</v>
      </c>
      <c r="R47" s="199">
        <f t="shared" ref="R47" ca="1" si="39">I47+L47+P47+Q47</f>
        <v>-40388.110725955863</v>
      </c>
      <c r="S47" s="199"/>
      <c r="T47" s="200">
        <f t="shared" ref="T47" ca="1" si="40">+G47+R47</f>
        <v>-40388.110725955863</v>
      </c>
      <c r="U47" s="713"/>
      <c r="V47" s="188">
        <f t="shared" ref="V47" ca="1" si="41">+I47+L47+P47</f>
        <v>-34224.087213864521</v>
      </c>
      <c r="W47" s="159" t="str">
        <f t="shared" ref="W47" si="42">A47</f>
        <v>P.030</v>
      </c>
    </row>
    <row r="48" spans="1:23" ht="13">
      <c r="A48" s="193" t="s">
        <v>347</v>
      </c>
      <c r="B48" s="156" t="s">
        <v>117</v>
      </c>
      <c r="C48" s="630" t="str">
        <f t="shared" ca="1" si="0"/>
        <v>Pryor Junction 138/115 kV</v>
      </c>
      <c r="D48" s="180">
        <f t="shared" ca="1" si="0"/>
        <v>2022</v>
      </c>
      <c r="E48" s="181"/>
      <c r="F48" s="182"/>
      <c r="G48" s="182"/>
      <c r="H48" s="196"/>
      <c r="I48" s="184">
        <f t="shared" ca="1" si="3"/>
        <v>-931.77942139557308</v>
      </c>
      <c r="J48" s="698">
        <v>10181.795067763751</v>
      </c>
      <c r="K48" s="197">
        <f t="shared" ref="K48" si="43">J48/J$50*K$50</f>
        <v>10339.915957549192</v>
      </c>
      <c r="L48" s="198">
        <f t="shared" ref="L48" si="44">+J48-K48</f>
        <v>-158.12088978544125</v>
      </c>
      <c r="M48" s="198"/>
      <c r="N48" s="195"/>
      <c r="O48" s="195"/>
      <c r="P48" s="195"/>
      <c r="Q48" s="198">
        <f ca="1">+V48/$V$50 * $Q$50</f>
        <v>-196.2994981275599</v>
      </c>
      <c r="R48" s="199">
        <f t="shared" ref="R48" ca="1" si="45">I48+L48+P48+Q48</f>
        <v>-1286.1998093085742</v>
      </c>
      <c r="S48" s="199"/>
      <c r="T48" s="200">
        <f t="shared" ref="T48" ca="1" si="46">+G48+R48</f>
        <v>-1286.1998093085742</v>
      </c>
      <c r="U48" s="713"/>
      <c r="V48" s="188">
        <f t="shared" ref="V48" ca="1" si="47">+I48+L48+P48</f>
        <v>-1089.9003111810143</v>
      </c>
      <c r="W48" s="159" t="str">
        <f t="shared" ref="W48" si="48">A48</f>
        <v>P.031</v>
      </c>
    </row>
    <row r="49" spans="1:23" ht="13">
      <c r="A49" s="159"/>
      <c r="B49" s="159"/>
      <c r="C49" s="159"/>
      <c r="D49" s="156"/>
      <c r="E49" s="199"/>
      <c r="F49" s="199"/>
      <c r="G49" s="199"/>
      <c r="H49" s="186"/>
      <c r="I49" s="199"/>
      <c r="J49" s="199"/>
      <c r="K49" s="201"/>
      <c r="L49" s="199"/>
      <c r="M49" s="199"/>
      <c r="N49" s="199"/>
      <c r="O49" s="199"/>
      <c r="P49" s="199"/>
      <c r="Q49" s="199"/>
      <c r="R49" s="199"/>
      <c r="S49" s="186"/>
      <c r="T49" s="200"/>
      <c r="V49" s="178"/>
    </row>
    <row r="50" spans="1:23" ht="13">
      <c r="A50" s="159"/>
      <c r="B50" s="159"/>
      <c r="C50" s="202" t="s">
        <v>177</v>
      </c>
      <c r="D50" s="156"/>
      <c r="E50" s="186">
        <f>SUM(E18:E49)</f>
        <v>0</v>
      </c>
      <c r="F50" s="186">
        <f ca="1">SUM(F18:F49)</f>
        <v>0</v>
      </c>
      <c r="G50" s="186">
        <f ca="1">SUM(G18:G49)</f>
        <v>0</v>
      </c>
      <c r="H50" s="186"/>
      <c r="I50" s="186">
        <f ca="1">SUM(I18:I49)</f>
        <v>-256976.01760756358</v>
      </c>
      <c r="J50" s="186">
        <f>SUM(J18:J49)</f>
        <v>9290448.4176171422</v>
      </c>
      <c r="K50" s="700">
        <v>9434726.9029453695</v>
      </c>
      <c r="L50" s="186">
        <f>SUM(L18:L49)</f>
        <v>-144278.48532822711</v>
      </c>
      <c r="M50" s="186">
        <f>SUM(M18:M42)</f>
        <v>0</v>
      </c>
      <c r="N50" s="186">
        <f>SUM(N18:N49)</f>
        <v>0</v>
      </c>
      <c r="O50" s="186">
        <f>SUM(O18:O49)</f>
        <v>0</v>
      </c>
      <c r="P50" s="186">
        <f>SUM(P18:P49)</f>
        <v>0</v>
      </c>
      <c r="Q50" s="186">
        <v>-72269.047673147696</v>
      </c>
      <c r="R50" s="186">
        <f ca="1">SUM(R18:R49)</f>
        <v>-473523.55060893833</v>
      </c>
      <c r="S50" s="186">
        <f>SUM(S18:S42)</f>
        <v>0</v>
      </c>
      <c r="T50" s="189">
        <f ca="1">SUM(T18:T49)</f>
        <v>-473523.55060893833</v>
      </c>
      <c r="U50" s="189">
        <f>SUM(U18:U49)</f>
        <v>-499608.37650272786</v>
      </c>
      <c r="V50" s="189">
        <f ca="1">SUM(V18:V49)</f>
        <v>-401254.50293579075</v>
      </c>
      <c r="W50" s="203" t="s">
        <v>267</v>
      </c>
    </row>
    <row r="51" spans="1:23" ht="13.5" thickBot="1">
      <c r="A51" s="159"/>
      <c r="B51" s="159"/>
      <c r="C51" s="204"/>
      <c r="D51" s="159"/>
      <c r="E51" s="205"/>
      <c r="F51" s="206" t="str">
        <f ca="1">IF(F50='PSO.WS.F.BPU.ATRR.Projected'!O19,"","Error")</f>
        <v/>
      </c>
      <c r="G51" s="206"/>
      <c r="H51" s="159"/>
      <c r="I51" s="207" t="str">
        <f ca="1">IF(ROUND(I50,0)=ROUND('PSO.WS.G.BPU.ATRR.True-up'!N19,0),"","Error")</f>
        <v/>
      </c>
      <c r="J51" s="208"/>
      <c r="K51" s="209" t="str">
        <f>IF(K50=SUM(K18:K49),"","Error -- check allocations above).")</f>
        <v/>
      </c>
      <c r="L51" s="210"/>
      <c r="M51" s="210"/>
      <c r="N51" s="210"/>
      <c r="O51" s="210"/>
      <c r="P51" s="210"/>
      <c r="Q51" s="708" t="str">
        <f ca="1">IF(Q50=SUM(Q18:Q49),"","Error -- check allocations above).")</f>
        <v/>
      </c>
      <c r="R51" s="186"/>
      <c r="S51" s="186"/>
      <c r="T51" s="186"/>
      <c r="V51" s="211"/>
      <c r="W51" s="203"/>
    </row>
    <row r="52" spans="1:23" ht="12.5">
      <c r="A52" s="159"/>
      <c r="B52" s="159"/>
      <c r="C52" s="212" t="s">
        <v>217</v>
      </c>
      <c r="D52" s="159"/>
      <c r="E52" s="186"/>
      <c r="F52" s="186"/>
      <c r="G52" s="186"/>
      <c r="H52" s="159"/>
      <c r="I52" s="213"/>
      <c r="J52" s="213"/>
      <c r="K52" s="159"/>
      <c r="L52" s="159"/>
      <c r="M52" s="159"/>
      <c r="N52" s="210"/>
      <c r="O52" s="210"/>
      <c r="P52" s="210"/>
      <c r="Q52" s="707"/>
      <c r="R52" s="186"/>
      <c r="S52" s="186"/>
      <c r="T52" s="186"/>
    </row>
    <row r="53" spans="1:23" ht="12.5">
      <c r="A53" s="159"/>
      <c r="B53" s="159"/>
      <c r="C53" s="212"/>
      <c r="D53" s="159"/>
      <c r="E53" s="186"/>
      <c r="F53" s="186" t="s">
        <v>348</v>
      </c>
      <c r="G53" s="186"/>
      <c r="H53" s="159"/>
      <c r="I53" s="214"/>
      <c r="J53" s="215"/>
      <c r="K53" s="185"/>
      <c r="L53" s="159"/>
      <c r="M53" s="159"/>
      <c r="N53" s="210"/>
      <c r="O53" s="210"/>
      <c r="P53" s="210"/>
      <c r="Q53" s="707"/>
      <c r="R53" s="210"/>
      <c r="S53" s="159"/>
      <c r="T53" s="159"/>
    </row>
    <row r="54" spans="1:23" ht="12.5">
      <c r="E54" s="216"/>
      <c r="F54" s="216"/>
      <c r="G54" s="216"/>
      <c r="I54" s="216"/>
      <c r="J54" s="217"/>
      <c r="N54" s="218"/>
      <c r="O54" s="218"/>
      <c r="P54" s="218"/>
      <c r="Q54" s="709"/>
      <c r="R54" s="218"/>
    </row>
    <row r="55" spans="1:23" ht="12.5">
      <c r="E55" s="216"/>
      <c r="F55" s="216"/>
      <c r="G55" s="216"/>
    </row>
    <row r="56" spans="1:23" ht="12.5">
      <c r="A56" s="219" t="s">
        <v>188</v>
      </c>
      <c r="B56" s="220"/>
      <c r="C56" s="220"/>
      <c r="D56" s="220"/>
      <c r="E56" s="221"/>
      <c r="F56" s="221"/>
      <c r="G56" s="221"/>
      <c r="H56" s="220"/>
      <c r="I56" s="220"/>
      <c r="J56" s="220"/>
      <c r="K56" s="220"/>
      <c r="L56" s="220"/>
      <c r="M56" s="220"/>
      <c r="N56" s="220"/>
      <c r="O56" s="222"/>
      <c r="V56" s="148" t="s">
        <v>201</v>
      </c>
    </row>
    <row r="57" spans="1:23" ht="15.5">
      <c r="A57" s="223" t="s">
        <v>191</v>
      </c>
      <c r="B57" s="194"/>
      <c r="C57" s="224" t="str">
        <f ca="1">RIGHT(CELL("address",P.001!D7),4)</f>
        <v>$D$7</v>
      </c>
      <c r="D57" s="224" t="str">
        <f ca="1">RIGHT(CELL("address",P.001!D11),4)</f>
        <v>D$11</v>
      </c>
      <c r="E57" s="224" t="str">
        <f ca="1">RIGHT(CELL("address",P.001!N5),4)</f>
        <v>$N$5</v>
      </c>
      <c r="F57" s="224" t="str">
        <f ca="1">RIGHT(CELL("address",P.001!N7),4)</f>
        <v>$N$7</v>
      </c>
      <c r="G57" s="194"/>
      <c r="H57" s="225"/>
      <c r="I57" s="224" t="str">
        <f ca="1">RIGHT(CELL("address",P.001!M89),4)</f>
        <v>M$89</v>
      </c>
      <c r="J57" s="224"/>
      <c r="K57" s="194"/>
      <c r="L57" s="194"/>
      <c r="M57" s="194"/>
      <c r="N57" s="224" t="str">
        <f ca="1">RIGHT(CELL("address",P.001!N87),4)</f>
        <v>N$87</v>
      </c>
      <c r="O57" s="226" t="str">
        <f ca="1">RIGHT(CELL("address",P.001!N88),4)</f>
        <v>N$88</v>
      </c>
      <c r="P57" s="177" t="s">
        <v>190</v>
      </c>
      <c r="V57" s="148" t="s">
        <v>202</v>
      </c>
    </row>
    <row r="58" spans="1:23" ht="12.5">
      <c r="A58" s="227" t="s">
        <v>192</v>
      </c>
      <c r="B58" s="228"/>
      <c r="C58" s="228"/>
      <c r="D58" s="228"/>
      <c r="E58" s="229"/>
      <c r="F58" s="229"/>
      <c r="G58" s="229"/>
      <c r="H58" s="228"/>
      <c r="I58" s="228"/>
      <c r="J58" s="228"/>
      <c r="K58" s="228"/>
      <c r="L58" s="228"/>
      <c r="M58" s="228"/>
      <c r="N58" s="228"/>
      <c r="O58" s="230"/>
      <c r="V58" s="148" t="s">
        <v>203</v>
      </c>
    </row>
    <row r="59" spans="1:23" ht="12.5">
      <c r="E59" s="216"/>
      <c r="F59" s="216"/>
      <c r="G59" s="216"/>
      <c r="V59" s="148" t="s">
        <v>204</v>
      </c>
    </row>
    <row r="60" spans="1:23" ht="12.5">
      <c r="A60" s="231" t="s">
        <v>241</v>
      </c>
      <c r="B60" s="231" t="s">
        <v>242</v>
      </c>
      <c r="E60" s="216"/>
      <c r="F60" s="216"/>
      <c r="G60" s="216"/>
      <c r="V60" s="232" t="s">
        <v>225</v>
      </c>
    </row>
    <row r="61" spans="1:23" ht="12.5">
      <c r="B61" s="231" t="s">
        <v>245</v>
      </c>
      <c r="E61" s="216"/>
      <c r="F61" s="216"/>
      <c r="G61" s="216"/>
    </row>
    <row r="62" spans="1:23" ht="12.5">
      <c r="B62" s="231" t="s">
        <v>246</v>
      </c>
      <c r="E62" s="216"/>
      <c r="F62" s="216"/>
      <c r="G62" s="216"/>
    </row>
    <row r="63" spans="1:23" ht="12.5">
      <c r="B63" s="231" t="s">
        <v>243</v>
      </c>
      <c r="E63" s="216"/>
      <c r="F63" s="216"/>
      <c r="G63" s="216"/>
      <c r="K63" s="235"/>
    </row>
    <row r="64" spans="1:23" ht="12.5">
      <c r="B64" s="231" t="s">
        <v>244</v>
      </c>
      <c r="E64" s="216"/>
      <c r="F64" s="216"/>
      <c r="G64" s="216"/>
      <c r="K64" s="233"/>
    </row>
    <row r="65" spans="2:10" ht="12.5">
      <c r="B65" s="231" t="s">
        <v>247</v>
      </c>
      <c r="E65" s="216"/>
      <c r="F65" s="216"/>
      <c r="G65" s="216"/>
    </row>
    <row r="68" spans="2:10" ht="12.75" customHeight="1">
      <c r="E68" s="160"/>
      <c r="F68" s="160"/>
      <c r="G68" s="160"/>
      <c r="H68" s="160"/>
      <c r="I68" s="234"/>
      <c r="J68" s="234"/>
    </row>
    <row r="70" spans="2:10" ht="12.75" customHeight="1">
      <c r="E70" s="214"/>
      <c r="F70" s="214"/>
      <c r="G70" s="235"/>
      <c r="H70" s="235"/>
      <c r="I70" s="236"/>
      <c r="J70" s="237"/>
    </row>
    <row r="71" spans="2:10" ht="12.75" customHeight="1">
      <c r="E71" s="214"/>
      <c r="F71" s="214"/>
      <c r="G71" s="235"/>
      <c r="H71" s="235"/>
      <c r="I71" s="236"/>
      <c r="J71" s="237"/>
    </row>
    <row r="72" spans="2:10" ht="12.75" customHeight="1">
      <c r="E72" s="214"/>
      <c r="F72" s="214"/>
      <c r="G72" s="235"/>
      <c r="H72" s="235"/>
      <c r="I72" s="236"/>
      <c r="J72" s="237"/>
    </row>
    <row r="73" spans="2:10" ht="12.75" customHeight="1">
      <c r="E73" s="214"/>
      <c r="F73" s="214"/>
      <c r="G73" s="235"/>
      <c r="H73" s="235"/>
      <c r="I73" s="236"/>
      <c r="J73" s="237"/>
    </row>
    <row r="74" spans="2:10" ht="12.75" customHeight="1">
      <c r="E74" s="214"/>
      <c r="F74" s="214"/>
      <c r="G74" s="235"/>
      <c r="H74" s="235"/>
      <c r="I74" s="236"/>
      <c r="J74" s="237"/>
    </row>
    <row r="75" spans="2:10" ht="12.75" customHeight="1">
      <c r="E75" s="214"/>
      <c r="F75" s="214"/>
      <c r="G75" s="235"/>
      <c r="H75" s="235"/>
      <c r="I75" s="236"/>
      <c r="J75" s="237"/>
    </row>
    <row r="76" spans="2:10" ht="12.75" customHeight="1">
      <c r="E76" s="214"/>
      <c r="F76" s="214"/>
      <c r="G76" s="235"/>
      <c r="H76" s="235"/>
      <c r="I76" s="236"/>
      <c r="J76" s="237"/>
    </row>
    <row r="77" spans="2:10" ht="12.75" customHeight="1">
      <c r="E77" s="214"/>
      <c r="F77" s="214"/>
      <c r="G77" s="235"/>
      <c r="H77" s="235"/>
      <c r="I77" s="236"/>
      <c r="J77" s="237"/>
    </row>
    <row r="78" spans="2:10" ht="12.75" customHeight="1">
      <c r="E78" s="214"/>
      <c r="F78" s="214"/>
      <c r="G78" s="235"/>
      <c r="H78" s="235"/>
      <c r="I78" s="236"/>
      <c r="J78" s="237"/>
    </row>
    <row r="79" spans="2:10" ht="12.75" customHeight="1">
      <c r="E79" s="214"/>
      <c r="F79" s="214"/>
      <c r="G79" s="235"/>
      <c r="H79" s="235"/>
      <c r="I79" s="236"/>
      <c r="J79" s="237"/>
    </row>
    <row r="80" spans="2:10" ht="12.75" customHeight="1">
      <c r="E80" s="214"/>
      <c r="F80" s="214"/>
      <c r="G80" s="235"/>
      <c r="H80" s="235"/>
      <c r="I80" s="236"/>
      <c r="J80" s="237"/>
    </row>
    <row r="81" spans="5:10" ht="12.75" customHeight="1">
      <c r="E81" s="214"/>
      <c r="F81" s="214"/>
      <c r="G81" s="235"/>
      <c r="H81" s="235"/>
      <c r="I81" s="236"/>
      <c r="J81" s="237"/>
    </row>
    <row r="82" spans="5:10" ht="12.75" customHeight="1">
      <c r="E82" s="214"/>
      <c r="F82" s="214"/>
      <c r="G82" s="235"/>
      <c r="H82" s="235"/>
      <c r="I82" s="236"/>
      <c r="J82" s="237"/>
    </row>
    <row r="83" spans="5:10" ht="12.75" customHeight="1">
      <c r="E83" s="214"/>
      <c r="F83" s="214"/>
      <c r="G83" s="235"/>
      <c r="H83" s="235"/>
      <c r="I83" s="236"/>
      <c r="J83" s="237"/>
    </row>
    <row r="84" spans="5:10" ht="12.75" customHeight="1">
      <c r="E84" s="214"/>
      <c r="F84" s="214"/>
      <c r="G84" s="235"/>
      <c r="H84" s="235"/>
      <c r="I84" s="236"/>
      <c r="J84" s="237"/>
    </row>
    <row r="85" spans="5:10" ht="12.75" customHeight="1">
      <c r="E85" s="214"/>
      <c r="F85" s="214"/>
      <c r="G85" s="235"/>
      <c r="H85" s="235"/>
      <c r="I85" s="236"/>
      <c r="J85" s="237"/>
    </row>
    <row r="86" spans="5:10" ht="12.75" customHeight="1">
      <c r="E86" s="214"/>
      <c r="F86" s="214"/>
      <c r="G86" s="235"/>
      <c r="H86" s="235"/>
      <c r="I86" s="236"/>
      <c r="J86" s="237"/>
    </row>
    <row r="87" spans="5:10" ht="12.75" customHeight="1">
      <c r="E87" s="214"/>
      <c r="F87" s="214"/>
      <c r="G87" s="235"/>
      <c r="H87" s="235"/>
      <c r="I87" s="236"/>
      <c r="J87" s="237"/>
    </row>
    <row r="88" spans="5:10" ht="12.75" customHeight="1">
      <c r="E88" s="214"/>
      <c r="F88" s="214"/>
      <c r="G88" s="235"/>
      <c r="H88" s="235"/>
      <c r="I88" s="236"/>
      <c r="J88" s="237"/>
    </row>
    <row r="89" spans="5:10" ht="12.75" customHeight="1">
      <c r="E89" s="214"/>
      <c r="F89" s="214"/>
      <c r="G89" s="235"/>
      <c r="H89" s="235"/>
      <c r="I89" s="236"/>
      <c r="J89" s="237"/>
    </row>
    <row r="90" spans="5:10" ht="12.75" customHeight="1">
      <c r="E90" s="214"/>
      <c r="F90" s="214"/>
      <c r="G90" s="235"/>
      <c r="H90" s="235"/>
      <c r="I90" s="236"/>
      <c r="J90" s="237"/>
    </row>
    <row r="91" spans="5:10" ht="12.75" customHeight="1">
      <c r="E91" s="214"/>
      <c r="F91" s="214"/>
      <c r="G91" s="235"/>
      <c r="H91" s="235"/>
      <c r="I91" s="236"/>
      <c r="J91" s="237"/>
    </row>
    <row r="92" spans="5:10" ht="12.75" customHeight="1">
      <c r="E92" s="214"/>
      <c r="F92" s="214"/>
      <c r="G92" s="235"/>
      <c r="H92" s="235"/>
      <c r="I92" s="236"/>
      <c r="J92" s="237"/>
    </row>
    <row r="93" spans="5:10" ht="12.75" customHeight="1">
      <c r="E93" s="214"/>
      <c r="F93" s="214"/>
      <c r="G93" s="235"/>
      <c r="H93" s="235"/>
      <c r="I93" s="236"/>
      <c r="J93" s="237"/>
    </row>
    <row r="94" spans="5:10" ht="12.75" customHeight="1">
      <c r="E94" s="214"/>
      <c r="F94" s="214"/>
      <c r="G94" s="235"/>
      <c r="H94" s="235"/>
      <c r="I94" s="236"/>
      <c r="J94" s="237"/>
    </row>
    <row r="95" spans="5:10" ht="12.75" customHeight="1">
      <c r="E95" s="235"/>
      <c r="F95" s="235"/>
      <c r="H95" s="235"/>
      <c r="I95" s="235"/>
      <c r="J95" s="235"/>
    </row>
    <row r="96" spans="5:10" ht="12.75" customHeight="1">
      <c r="E96" s="235"/>
      <c r="F96" s="235"/>
      <c r="G96" s="235"/>
      <c r="H96" s="235"/>
      <c r="I96" s="235"/>
      <c r="J96" s="235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9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5">
    <tabColor rgb="FFC00000"/>
  </sheetPr>
  <dimension ref="A1:P162"/>
  <sheetViews>
    <sheetView topLeftCell="A66" zoomScaleNormal="100" zoomScaleSheetLayoutView="75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7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8867.6018741323824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8867.6018741323824</v>
      </c>
      <c r="O6" s="231"/>
      <c r="P6" s="231"/>
    </row>
    <row r="7" spans="1:16" ht="13.5" thickBot="1">
      <c r="C7" s="429" t="s">
        <v>46</v>
      </c>
      <c r="D7" s="430" t="s">
        <v>214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86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84424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IF(D10=0,0,ROUND(D10/D13,0))</f>
        <v>2165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2007</v>
      </c>
      <c r="D17" s="471">
        <v>84424</v>
      </c>
      <c r="E17" s="472">
        <v>0</v>
      </c>
      <c r="F17" s="471">
        <v>84424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2008</v>
      </c>
      <c r="D18" s="477">
        <v>84424</v>
      </c>
      <c r="E18" s="478">
        <v>1508</v>
      </c>
      <c r="F18" s="477">
        <v>82916</v>
      </c>
      <c r="G18" s="478">
        <v>0</v>
      </c>
      <c r="H18" s="479">
        <v>0</v>
      </c>
      <c r="I18" s="473">
        <f t="shared" si="0"/>
        <v>0</v>
      </c>
      <c r="J18" s="473"/>
      <c r="K18" s="474">
        <v>0</v>
      </c>
      <c r="L18" s="476">
        <f t="shared" si="1"/>
        <v>0</v>
      </c>
      <c r="M18" s="474">
        <v>0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/>
      </c>
      <c r="C19" s="470">
        <f>IF(D11="","-",+C18+1)</f>
        <v>2009</v>
      </c>
      <c r="D19" s="477">
        <v>82916</v>
      </c>
      <c r="E19" s="478">
        <v>1508</v>
      </c>
      <c r="F19" s="477">
        <v>81408</v>
      </c>
      <c r="G19" s="478">
        <v>0</v>
      </c>
      <c r="H19" s="479">
        <v>0</v>
      </c>
      <c r="I19" s="473">
        <f t="shared" si="0"/>
        <v>0</v>
      </c>
      <c r="J19" s="473"/>
      <c r="K19" s="474">
        <v>0</v>
      </c>
      <c r="L19" s="476">
        <f t="shared" si="1"/>
        <v>0</v>
      </c>
      <c r="M19" s="474">
        <v>0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4">IF(D20=F19,"","IU")</f>
        <v/>
      </c>
      <c r="C20" s="470">
        <f>IF(D11="","-",+C19+1)</f>
        <v>2010</v>
      </c>
      <c r="D20" s="477">
        <v>81408</v>
      </c>
      <c r="E20" s="478">
        <v>1508</v>
      </c>
      <c r="F20" s="477">
        <v>79900</v>
      </c>
      <c r="G20" s="478">
        <v>13037.291488737637</v>
      </c>
      <c r="H20" s="479">
        <v>13037.291488737637</v>
      </c>
      <c r="I20" s="473">
        <v>0</v>
      </c>
      <c r="J20" s="473"/>
      <c r="K20" s="538">
        <f t="shared" ref="K20:K25" si="5">G20</f>
        <v>13037.291488737637</v>
      </c>
      <c r="L20" s="539">
        <f t="shared" si="1"/>
        <v>0</v>
      </c>
      <c r="M20" s="538">
        <f t="shared" ref="M20:M25" si="6">H20</f>
        <v>13037.291488737637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4"/>
        <v/>
      </c>
      <c r="C21" s="470">
        <f>IF(D11="","-",+C20+1)</f>
        <v>2011</v>
      </c>
      <c r="D21" s="477">
        <v>79900</v>
      </c>
      <c r="E21" s="478">
        <v>1655</v>
      </c>
      <c r="F21" s="477">
        <v>78245</v>
      </c>
      <c r="G21" s="478">
        <v>13903.733792156472</v>
      </c>
      <c r="H21" s="479">
        <v>13903.733792156472</v>
      </c>
      <c r="I21" s="473">
        <f t="shared" si="0"/>
        <v>0</v>
      </c>
      <c r="J21" s="473"/>
      <c r="K21" s="474">
        <f t="shared" si="5"/>
        <v>13903.733792156472</v>
      </c>
      <c r="L21" s="548">
        <f t="shared" si="1"/>
        <v>0</v>
      </c>
      <c r="M21" s="474">
        <f t="shared" si="6"/>
        <v>13903.733792156472</v>
      </c>
      <c r="N21" s="476">
        <f t="shared" si="2"/>
        <v>0</v>
      </c>
      <c r="O21" s="476">
        <f t="shared" si="3"/>
        <v>0</v>
      </c>
      <c r="P21" s="241"/>
    </row>
    <row r="22" spans="2:16" ht="12.5">
      <c r="B22" s="160" t="str">
        <f t="shared" si="4"/>
        <v/>
      </c>
      <c r="C22" s="470">
        <f>IF(D11="","-",+C21+1)</f>
        <v>2012</v>
      </c>
      <c r="D22" s="477">
        <v>78245</v>
      </c>
      <c r="E22" s="478">
        <v>1624</v>
      </c>
      <c r="F22" s="477">
        <v>76621</v>
      </c>
      <c r="G22" s="478">
        <v>12290.159159207155</v>
      </c>
      <c r="H22" s="479">
        <v>12290.159159207155</v>
      </c>
      <c r="I22" s="473">
        <f t="shared" si="0"/>
        <v>0</v>
      </c>
      <c r="J22" s="473"/>
      <c r="K22" s="474">
        <f t="shared" si="5"/>
        <v>12290.159159207155</v>
      </c>
      <c r="L22" s="548">
        <f t="shared" si="1"/>
        <v>0</v>
      </c>
      <c r="M22" s="474">
        <f t="shared" si="6"/>
        <v>12290.159159207155</v>
      </c>
      <c r="N22" s="476">
        <f t="shared" si="2"/>
        <v>0</v>
      </c>
      <c r="O22" s="476">
        <f t="shared" si="3"/>
        <v>0</v>
      </c>
      <c r="P22" s="241"/>
    </row>
    <row r="23" spans="2:16" ht="12.5">
      <c r="B23" s="160" t="str">
        <f t="shared" si="4"/>
        <v/>
      </c>
      <c r="C23" s="470">
        <f>IF(D11="","-",+C22+1)</f>
        <v>2013</v>
      </c>
      <c r="D23" s="477">
        <v>76621</v>
      </c>
      <c r="E23" s="478">
        <v>1624</v>
      </c>
      <c r="F23" s="477">
        <v>74997</v>
      </c>
      <c r="G23" s="478">
        <v>12334.078606810854</v>
      </c>
      <c r="H23" s="479">
        <v>12334.078606810854</v>
      </c>
      <c r="I23" s="473">
        <v>0</v>
      </c>
      <c r="J23" s="473"/>
      <c r="K23" s="474">
        <f t="shared" si="5"/>
        <v>12334.078606810854</v>
      </c>
      <c r="L23" s="548">
        <f t="shared" ref="L23:L28" si="7">IF(K23&lt;&gt;0,+G23-K23,0)</f>
        <v>0</v>
      </c>
      <c r="M23" s="474">
        <f t="shared" si="6"/>
        <v>12334.078606810854</v>
      </c>
      <c r="N23" s="476">
        <f t="shared" ref="N23:N28" si="8">IF(M23&lt;&gt;0,+H23-M23,0)</f>
        <v>0</v>
      </c>
      <c r="O23" s="476">
        <f t="shared" ref="O23:O28" si="9">+N23-L23</f>
        <v>0</v>
      </c>
      <c r="P23" s="241"/>
    </row>
    <row r="24" spans="2:16" ht="12.5">
      <c r="B24" s="160" t="str">
        <f t="shared" si="4"/>
        <v/>
      </c>
      <c r="C24" s="470">
        <f>IF(D11="","-",+C23+1)</f>
        <v>2014</v>
      </c>
      <c r="D24" s="477">
        <v>74997</v>
      </c>
      <c r="E24" s="478">
        <v>1624</v>
      </c>
      <c r="F24" s="477">
        <v>73373</v>
      </c>
      <c r="G24" s="478">
        <v>11724.436761777028</v>
      </c>
      <c r="H24" s="479">
        <v>11724.436761777028</v>
      </c>
      <c r="I24" s="473">
        <v>0</v>
      </c>
      <c r="J24" s="473"/>
      <c r="K24" s="474">
        <f t="shared" si="5"/>
        <v>11724.436761777028</v>
      </c>
      <c r="L24" s="548">
        <f t="shared" si="7"/>
        <v>0</v>
      </c>
      <c r="M24" s="474">
        <f t="shared" si="6"/>
        <v>11724.436761777028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4"/>
        <v/>
      </c>
      <c r="C25" s="470">
        <f>IF(D11="","-",+C24+1)</f>
        <v>2015</v>
      </c>
      <c r="D25" s="477">
        <v>73373</v>
      </c>
      <c r="E25" s="478">
        <v>1624</v>
      </c>
      <c r="F25" s="477">
        <v>71749</v>
      </c>
      <c r="G25" s="478">
        <v>11516.153501332747</v>
      </c>
      <c r="H25" s="479">
        <v>11516.153501332747</v>
      </c>
      <c r="I25" s="473">
        <v>0</v>
      </c>
      <c r="J25" s="473"/>
      <c r="K25" s="474">
        <f t="shared" si="5"/>
        <v>11516.153501332747</v>
      </c>
      <c r="L25" s="548">
        <f t="shared" si="7"/>
        <v>0</v>
      </c>
      <c r="M25" s="474">
        <f t="shared" si="6"/>
        <v>11516.153501332747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4"/>
        <v/>
      </c>
      <c r="C26" s="470">
        <f>IF(D11="","-",+C25+1)</f>
        <v>2016</v>
      </c>
      <c r="D26" s="477">
        <v>71749</v>
      </c>
      <c r="E26" s="478">
        <v>1624</v>
      </c>
      <c r="F26" s="477">
        <v>70125</v>
      </c>
      <c r="G26" s="478">
        <v>10821.569336122064</v>
      </c>
      <c r="H26" s="479">
        <v>10821.569336122064</v>
      </c>
      <c r="I26" s="473">
        <f t="shared" si="0"/>
        <v>0</v>
      </c>
      <c r="J26" s="473"/>
      <c r="K26" s="474">
        <f t="shared" ref="K26:K31" si="10">G26</f>
        <v>10821.569336122064</v>
      </c>
      <c r="L26" s="548">
        <f t="shared" si="7"/>
        <v>0</v>
      </c>
      <c r="M26" s="474">
        <f t="shared" ref="M26:M31" si="11">H26</f>
        <v>10821.569336122064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4"/>
        <v/>
      </c>
      <c r="C27" s="470">
        <f>IF(D11="","-",+C26+1)</f>
        <v>2017</v>
      </c>
      <c r="D27" s="477">
        <v>70125</v>
      </c>
      <c r="E27" s="478">
        <v>1835</v>
      </c>
      <c r="F27" s="477">
        <v>68290</v>
      </c>
      <c r="G27" s="478">
        <v>10525.630110064558</v>
      </c>
      <c r="H27" s="479">
        <v>10525.630110064558</v>
      </c>
      <c r="I27" s="473">
        <f t="shared" si="0"/>
        <v>0</v>
      </c>
      <c r="J27" s="473"/>
      <c r="K27" s="474">
        <f t="shared" si="10"/>
        <v>10525.630110064558</v>
      </c>
      <c r="L27" s="548">
        <f t="shared" si="7"/>
        <v>0</v>
      </c>
      <c r="M27" s="474">
        <f t="shared" si="11"/>
        <v>10525.630110064558</v>
      </c>
      <c r="N27" s="476">
        <f t="shared" si="8"/>
        <v>0</v>
      </c>
      <c r="O27" s="476">
        <f t="shared" si="9"/>
        <v>0</v>
      </c>
      <c r="P27" s="241"/>
    </row>
    <row r="28" spans="2:16" ht="12.5">
      <c r="B28" s="160" t="str">
        <f t="shared" si="4"/>
        <v/>
      </c>
      <c r="C28" s="470">
        <f>IF(D11="","-",+C27+1)</f>
        <v>2018</v>
      </c>
      <c r="D28" s="477">
        <v>68290</v>
      </c>
      <c r="E28" s="478">
        <v>1876</v>
      </c>
      <c r="F28" s="477">
        <v>66414</v>
      </c>
      <c r="G28" s="478">
        <v>9942.0041745497692</v>
      </c>
      <c r="H28" s="479">
        <v>9942.0041745497692</v>
      </c>
      <c r="I28" s="473">
        <f t="shared" si="0"/>
        <v>0</v>
      </c>
      <c r="J28" s="473"/>
      <c r="K28" s="474">
        <f t="shared" si="10"/>
        <v>9942.0041745497692</v>
      </c>
      <c r="L28" s="548">
        <f t="shared" si="7"/>
        <v>0</v>
      </c>
      <c r="M28" s="474">
        <f t="shared" si="11"/>
        <v>9942.0041745497692</v>
      </c>
      <c r="N28" s="476">
        <f t="shared" si="8"/>
        <v>0</v>
      </c>
      <c r="O28" s="476">
        <f t="shared" si="9"/>
        <v>0</v>
      </c>
      <c r="P28" s="241"/>
    </row>
    <row r="29" spans="2:16" ht="12.5">
      <c r="B29" s="160" t="str">
        <f t="shared" si="4"/>
        <v/>
      </c>
      <c r="C29" s="470">
        <f>IF(D11="","-",+C28+1)</f>
        <v>2019</v>
      </c>
      <c r="D29" s="477">
        <v>66414</v>
      </c>
      <c r="E29" s="478">
        <v>2111</v>
      </c>
      <c r="F29" s="477">
        <v>64303</v>
      </c>
      <c r="G29" s="478">
        <v>9408.7099366610164</v>
      </c>
      <c r="H29" s="479">
        <v>9408.7099366610164</v>
      </c>
      <c r="I29" s="473">
        <f t="shared" si="0"/>
        <v>0</v>
      </c>
      <c r="J29" s="473"/>
      <c r="K29" s="474">
        <f t="shared" si="10"/>
        <v>9408.7099366610164</v>
      </c>
      <c r="L29" s="548">
        <f t="shared" ref="L29" si="12">IF(K29&lt;&gt;0,+G29-K29,0)</f>
        <v>0</v>
      </c>
      <c r="M29" s="474">
        <f t="shared" si="11"/>
        <v>9408.7099366610164</v>
      </c>
      <c r="N29" s="476">
        <f t="shared" ref="N29" si="13">IF(M29&lt;&gt;0,+H29-M29,0)</f>
        <v>0</v>
      </c>
      <c r="O29" s="476">
        <f t="shared" ref="O29" si="14">+N29-L29</f>
        <v>0</v>
      </c>
      <c r="P29" s="241"/>
    </row>
    <row r="30" spans="2:16" ht="12.5">
      <c r="B30" s="160" t="str">
        <f t="shared" si="4"/>
        <v>IU</v>
      </c>
      <c r="C30" s="470">
        <f>IF(D11="","-",+C29+1)</f>
        <v>2020</v>
      </c>
      <c r="D30" s="477">
        <v>64538</v>
      </c>
      <c r="E30" s="478">
        <v>2010</v>
      </c>
      <c r="F30" s="477">
        <v>62528</v>
      </c>
      <c r="G30" s="478">
        <v>8871.8674914200565</v>
      </c>
      <c r="H30" s="479">
        <v>8871.8674914200565</v>
      </c>
      <c r="I30" s="473">
        <f t="shared" si="0"/>
        <v>0</v>
      </c>
      <c r="J30" s="473"/>
      <c r="K30" s="474">
        <f t="shared" si="10"/>
        <v>8871.8674914200565</v>
      </c>
      <c r="L30" s="548">
        <f t="shared" ref="L30" si="15">IF(K30&lt;&gt;0,+G30-K30,0)</f>
        <v>0</v>
      </c>
      <c r="M30" s="474">
        <f t="shared" si="11"/>
        <v>8871.8674914200565</v>
      </c>
      <c r="N30" s="476">
        <f t="shared" si="2"/>
        <v>0</v>
      </c>
      <c r="O30" s="476">
        <f t="shared" si="3"/>
        <v>0</v>
      </c>
      <c r="P30" s="241"/>
    </row>
    <row r="31" spans="2:16" ht="12.5">
      <c r="B31" s="160" t="str">
        <f t="shared" si="4"/>
        <v>IU</v>
      </c>
      <c r="C31" s="470">
        <f>IF(D11="","-",+C30+1)</f>
        <v>2021</v>
      </c>
      <c r="D31" s="477">
        <v>62293</v>
      </c>
      <c r="E31" s="478">
        <v>1963</v>
      </c>
      <c r="F31" s="477">
        <v>60330</v>
      </c>
      <c r="G31" s="478">
        <v>8467.8802590192263</v>
      </c>
      <c r="H31" s="479">
        <v>8467.8802590192263</v>
      </c>
      <c r="I31" s="473">
        <f t="shared" si="0"/>
        <v>0</v>
      </c>
      <c r="J31" s="473"/>
      <c r="K31" s="474">
        <f t="shared" si="10"/>
        <v>8467.8802590192263</v>
      </c>
      <c r="L31" s="548">
        <f t="shared" ref="L31" si="16">IF(K31&lt;&gt;0,+G31-K31,0)</f>
        <v>0</v>
      </c>
      <c r="M31" s="474">
        <f t="shared" si="11"/>
        <v>8467.8802590192263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4"/>
        <v/>
      </c>
      <c r="C32" s="470">
        <f>IF(D11="","-",+C31+1)</f>
        <v>2022</v>
      </c>
      <c r="D32" s="477">
        <v>60330</v>
      </c>
      <c r="E32" s="478">
        <v>2010</v>
      </c>
      <c r="F32" s="477">
        <v>58320</v>
      </c>
      <c r="G32" s="478">
        <v>8297.5518554789269</v>
      </c>
      <c r="H32" s="479">
        <v>8297.5518554789269</v>
      </c>
      <c r="I32" s="473">
        <f t="shared" si="0"/>
        <v>0</v>
      </c>
      <c r="J32" s="473"/>
      <c r="K32" s="474">
        <f t="shared" ref="K32" si="17">G32</f>
        <v>8297.5518554789269</v>
      </c>
      <c r="L32" s="548">
        <f t="shared" ref="L32" si="18">IF(K32&lt;&gt;0,+G32-K32,0)</f>
        <v>0</v>
      </c>
      <c r="M32" s="474">
        <f t="shared" ref="M32" si="19">H32</f>
        <v>8297.5518554789269</v>
      </c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4"/>
        <v/>
      </c>
      <c r="C33" s="470">
        <f>IF(D11="","-",+C32+1)</f>
        <v>2023</v>
      </c>
      <c r="D33" s="477">
        <v>58320</v>
      </c>
      <c r="E33" s="478">
        <v>2165</v>
      </c>
      <c r="F33" s="477">
        <v>56155</v>
      </c>
      <c r="G33" s="478">
        <v>8867.6018741323824</v>
      </c>
      <c r="H33" s="479">
        <v>8867.6018741323824</v>
      </c>
      <c r="I33" s="473">
        <f t="shared" si="0"/>
        <v>0</v>
      </c>
      <c r="J33" s="473"/>
      <c r="K33" s="474">
        <f t="shared" ref="K33" si="20">G33</f>
        <v>8867.6018741323824</v>
      </c>
      <c r="L33" s="548">
        <f t="shared" ref="L33" si="21">IF(K33&lt;&gt;0,+G33-K33,0)</f>
        <v>0</v>
      </c>
      <c r="M33" s="474">
        <f t="shared" ref="M33" si="22">H33</f>
        <v>8867.6018741323824</v>
      </c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4"/>
        <v/>
      </c>
      <c r="C34" s="470">
        <f>IF(D11="","-",+C33+1)</f>
        <v>2024</v>
      </c>
      <c r="D34" s="483">
        <f>IF(F33+SUM(E$17:E33)=D$10,F33,D$10-SUM(E$17:E33))</f>
        <v>56155</v>
      </c>
      <c r="E34" s="482">
        <f>IF(+I14&lt;F33,I14,D34)</f>
        <v>2165</v>
      </c>
      <c r="F34" s="483">
        <f t="shared" ref="F34:F48" si="23">+D34-E34</f>
        <v>53990</v>
      </c>
      <c r="G34" s="484">
        <f t="shared" ref="G34:G71" si="24">(D34+F34)/2*I$12+E34</f>
        <v>8738.3958100464006</v>
      </c>
      <c r="H34" s="453">
        <f t="shared" ref="H34:H71" si="25">+(D34+F34)/2*I$13+E34</f>
        <v>8738.3958100464006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4"/>
        <v/>
      </c>
      <c r="C35" s="470">
        <f>IF(D11="","-",+C34+1)</f>
        <v>2025</v>
      </c>
      <c r="D35" s="483">
        <f>IF(F34+SUM(E$17:E34)=D$10,F34,D$10-SUM(E$17:E34))</f>
        <v>53990</v>
      </c>
      <c r="E35" s="482">
        <f>IF(+I14&lt;F34,I14,D35)</f>
        <v>2165</v>
      </c>
      <c r="F35" s="483">
        <f t="shared" si="23"/>
        <v>51825</v>
      </c>
      <c r="G35" s="484">
        <f t="shared" si="24"/>
        <v>8479.983681874437</v>
      </c>
      <c r="H35" s="453">
        <f t="shared" si="25"/>
        <v>8479.983681874437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4"/>
        <v/>
      </c>
      <c r="C36" s="470">
        <f>IF(D11="","-",+C35+1)</f>
        <v>2026</v>
      </c>
      <c r="D36" s="483">
        <f>IF(F35+SUM(E$17:E35)=D$10,F35,D$10-SUM(E$17:E35))</f>
        <v>51825</v>
      </c>
      <c r="E36" s="482">
        <f>IF(+I14&lt;F35,I14,D36)</f>
        <v>2165</v>
      </c>
      <c r="F36" s="483">
        <f t="shared" si="23"/>
        <v>49660</v>
      </c>
      <c r="G36" s="484">
        <f t="shared" si="24"/>
        <v>8221.5715537024735</v>
      </c>
      <c r="H36" s="453">
        <f t="shared" si="25"/>
        <v>8221.5715537024735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4"/>
        <v/>
      </c>
      <c r="C37" s="470">
        <f>IF(D11="","-",+C36+1)</f>
        <v>2027</v>
      </c>
      <c r="D37" s="483">
        <f>IF(F36+SUM(E$17:E36)=D$10,F36,D$10-SUM(E$17:E36))</f>
        <v>49660</v>
      </c>
      <c r="E37" s="482">
        <f>IF(+I14&lt;F36,I14,D37)</f>
        <v>2165</v>
      </c>
      <c r="F37" s="483">
        <f t="shared" si="23"/>
        <v>47495</v>
      </c>
      <c r="G37" s="484">
        <f t="shared" si="24"/>
        <v>7963.1594255305108</v>
      </c>
      <c r="H37" s="453">
        <f t="shared" si="25"/>
        <v>7963.1594255305108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4"/>
        <v/>
      </c>
      <c r="C38" s="470">
        <f>IF(D11="","-",+C37+1)</f>
        <v>2028</v>
      </c>
      <c r="D38" s="483">
        <f>IF(F37+SUM(E$17:E37)=D$10,F37,D$10-SUM(E$17:E37))</f>
        <v>47495</v>
      </c>
      <c r="E38" s="482">
        <f>IF(+I14&lt;F37,I14,D38)</f>
        <v>2165</v>
      </c>
      <c r="F38" s="483">
        <f t="shared" si="23"/>
        <v>45330</v>
      </c>
      <c r="G38" s="484">
        <f t="shared" si="24"/>
        <v>7704.7472973585473</v>
      </c>
      <c r="H38" s="453">
        <f t="shared" si="25"/>
        <v>7704.7472973585473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4"/>
        <v/>
      </c>
      <c r="C39" s="470">
        <f>IF(D11="","-",+C38+1)</f>
        <v>2029</v>
      </c>
      <c r="D39" s="483">
        <f>IF(F38+SUM(E$17:E38)=D$10,F38,D$10-SUM(E$17:E38))</f>
        <v>45330</v>
      </c>
      <c r="E39" s="482">
        <f>IF(+I14&lt;F38,I14,D39)</f>
        <v>2165</v>
      </c>
      <c r="F39" s="483">
        <f t="shared" si="23"/>
        <v>43165</v>
      </c>
      <c r="G39" s="484">
        <f t="shared" si="24"/>
        <v>7446.3351691865837</v>
      </c>
      <c r="H39" s="453">
        <f t="shared" si="25"/>
        <v>7446.3351691865837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4"/>
        <v/>
      </c>
      <c r="C40" s="470">
        <f>IF(D11="","-",+C39+1)</f>
        <v>2030</v>
      </c>
      <c r="D40" s="483">
        <f>IF(F39+SUM(E$17:E39)=D$10,F39,D$10-SUM(E$17:E39))</f>
        <v>43165</v>
      </c>
      <c r="E40" s="482">
        <f>IF(+I14&lt;F39,I14,D40)</f>
        <v>2165</v>
      </c>
      <c r="F40" s="483">
        <f t="shared" si="23"/>
        <v>41000</v>
      </c>
      <c r="G40" s="484">
        <f t="shared" si="24"/>
        <v>7187.9230410146201</v>
      </c>
      <c r="H40" s="453">
        <f t="shared" si="25"/>
        <v>7187.9230410146201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4"/>
        <v/>
      </c>
      <c r="C41" s="470">
        <f>IF(D11="","-",+C40+1)</f>
        <v>2031</v>
      </c>
      <c r="D41" s="483">
        <f>IF(F40+SUM(E$17:E40)=D$10,F40,D$10-SUM(E$17:E40))</f>
        <v>41000</v>
      </c>
      <c r="E41" s="482">
        <f>IF(+I14&lt;F40,I14,D41)</f>
        <v>2165</v>
      </c>
      <c r="F41" s="483">
        <f t="shared" si="23"/>
        <v>38835</v>
      </c>
      <c r="G41" s="484">
        <f t="shared" si="24"/>
        <v>6929.5109128426566</v>
      </c>
      <c r="H41" s="453">
        <f t="shared" si="25"/>
        <v>6929.5109128426566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4"/>
        <v/>
      </c>
      <c r="C42" s="470">
        <f>IF(D11="","-",+C41+1)</f>
        <v>2032</v>
      </c>
      <c r="D42" s="483">
        <f>IF(F41+SUM(E$17:E41)=D$10,F41,D$10-SUM(E$17:E41))</f>
        <v>38835</v>
      </c>
      <c r="E42" s="482">
        <f>IF(+I14&lt;F41,I14,D42)</f>
        <v>2165</v>
      </c>
      <c r="F42" s="483">
        <f t="shared" si="23"/>
        <v>36670</v>
      </c>
      <c r="G42" s="484">
        <f t="shared" si="24"/>
        <v>6671.0987846706939</v>
      </c>
      <c r="H42" s="453">
        <f t="shared" si="25"/>
        <v>6671.0987846706939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4"/>
        <v/>
      </c>
      <c r="C43" s="470">
        <f>IF(D11="","-",+C42+1)</f>
        <v>2033</v>
      </c>
      <c r="D43" s="483">
        <f>IF(F42+SUM(E$17:E42)=D$10,F42,D$10-SUM(E$17:E42))</f>
        <v>36670</v>
      </c>
      <c r="E43" s="482">
        <f>IF(+I14&lt;F42,I14,D43)</f>
        <v>2165</v>
      </c>
      <c r="F43" s="483">
        <f t="shared" si="23"/>
        <v>34505</v>
      </c>
      <c r="G43" s="484">
        <f t="shared" si="24"/>
        <v>6412.6866564987304</v>
      </c>
      <c r="H43" s="453">
        <f t="shared" si="25"/>
        <v>6412.6866564987304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4"/>
        <v/>
      </c>
      <c r="C44" s="470">
        <f>IF(D11="","-",+C43+1)</f>
        <v>2034</v>
      </c>
      <c r="D44" s="483">
        <f>IF(F43+SUM(E$17:E43)=D$10,F43,D$10-SUM(E$17:E43))</f>
        <v>34505</v>
      </c>
      <c r="E44" s="482">
        <f>IF(+I14&lt;F43,I14,D44)</f>
        <v>2165</v>
      </c>
      <c r="F44" s="483">
        <f t="shared" si="23"/>
        <v>32340</v>
      </c>
      <c r="G44" s="484">
        <f t="shared" si="24"/>
        <v>6154.2745283267668</v>
      </c>
      <c r="H44" s="453">
        <f t="shared" si="25"/>
        <v>6154.2745283267668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4"/>
        <v/>
      </c>
      <c r="C45" s="470">
        <f>IF(D11="","-",+C44+1)</f>
        <v>2035</v>
      </c>
      <c r="D45" s="483">
        <f>IF(F44+SUM(E$17:E44)=D$10,F44,D$10-SUM(E$17:E44))</f>
        <v>32340</v>
      </c>
      <c r="E45" s="482">
        <f>IF(+I14&lt;F44,I14,D45)</f>
        <v>2165</v>
      </c>
      <c r="F45" s="483">
        <f t="shared" si="23"/>
        <v>30175</v>
      </c>
      <c r="G45" s="484">
        <f t="shared" si="24"/>
        <v>5895.8624001548033</v>
      </c>
      <c r="H45" s="453">
        <f t="shared" si="25"/>
        <v>5895.8624001548033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4"/>
        <v/>
      </c>
      <c r="C46" s="470">
        <f>IF(D11="","-",+C45+1)</f>
        <v>2036</v>
      </c>
      <c r="D46" s="483">
        <f>IF(F45+SUM(E$17:E45)=D$10,F45,D$10-SUM(E$17:E45))</f>
        <v>30175</v>
      </c>
      <c r="E46" s="482">
        <f>IF(+I14&lt;F45,I14,D46)</f>
        <v>2165</v>
      </c>
      <c r="F46" s="483">
        <f t="shared" si="23"/>
        <v>28010</v>
      </c>
      <c r="G46" s="484">
        <f t="shared" si="24"/>
        <v>5637.4502719828397</v>
      </c>
      <c r="H46" s="453">
        <f t="shared" si="25"/>
        <v>5637.4502719828397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4"/>
        <v/>
      </c>
      <c r="C47" s="470">
        <f>IF(D11="","-",+C46+1)</f>
        <v>2037</v>
      </c>
      <c r="D47" s="483">
        <f>IF(F46+SUM(E$17:E46)=D$10,F46,D$10-SUM(E$17:E46))</f>
        <v>28010</v>
      </c>
      <c r="E47" s="482">
        <f>IF(+I14&lt;F46,I14,D47)</f>
        <v>2165</v>
      </c>
      <c r="F47" s="483">
        <f t="shared" si="23"/>
        <v>25845</v>
      </c>
      <c r="G47" s="484">
        <f t="shared" si="24"/>
        <v>5379.0381438108761</v>
      </c>
      <c r="H47" s="453">
        <f t="shared" si="25"/>
        <v>5379.0381438108761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4"/>
        <v/>
      </c>
      <c r="C48" s="470">
        <f>IF(D11="","-",+C47+1)</f>
        <v>2038</v>
      </c>
      <c r="D48" s="483">
        <f>IF(F47+SUM(E$17:E47)=D$10,F47,D$10-SUM(E$17:E47))</f>
        <v>25845</v>
      </c>
      <c r="E48" s="482">
        <f>IF(+I14&lt;F47,I14,D48)</f>
        <v>2165</v>
      </c>
      <c r="F48" s="483">
        <f t="shared" si="23"/>
        <v>23680</v>
      </c>
      <c r="G48" s="484">
        <f t="shared" si="24"/>
        <v>5120.6260156389126</v>
      </c>
      <c r="H48" s="453">
        <f t="shared" si="25"/>
        <v>5120.6260156389126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4"/>
        <v/>
      </c>
      <c r="C49" s="470">
        <f>IF(D11="","-",+C48+1)</f>
        <v>2039</v>
      </c>
      <c r="D49" s="483">
        <f>IF(F48+SUM(E$17:E48)=D$10,F48,D$10-SUM(E$17:E48))</f>
        <v>23680</v>
      </c>
      <c r="E49" s="482">
        <f>IF(+I14&lt;F48,I14,D49)</f>
        <v>2165</v>
      </c>
      <c r="F49" s="483">
        <f t="shared" ref="F49:F72" si="26">+D49-E49</f>
        <v>21515</v>
      </c>
      <c r="G49" s="484">
        <f t="shared" si="24"/>
        <v>4862.213887466949</v>
      </c>
      <c r="H49" s="453">
        <f t="shared" si="25"/>
        <v>4862.213887466949</v>
      </c>
      <c r="I49" s="473">
        <f t="shared" ref="I49:I72" si="27">H49-G49</f>
        <v>0</v>
      </c>
      <c r="J49" s="473"/>
      <c r="K49" s="485"/>
      <c r="L49" s="476">
        <f t="shared" ref="L49:L72" si="28">IF(K49&lt;&gt;0,+G49-K49,0)</f>
        <v>0</v>
      </c>
      <c r="M49" s="485"/>
      <c r="N49" s="476">
        <f t="shared" ref="N49:N72" si="29">IF(M49&lt;&gt;0,+H49-M49,0)</f>
        <v>0</v>
      </c>
      <c r="O49" s="476">
        <f t="shared" ref="O49:O72" si="30">+N49-L49</f>
        <v>0</v>
      </c>
      <c r="P49" s="241"/>
    </row>
    <row r="50" spans="2:16" ht="12.5">
      <c r="B50" s="160" t="str">
        <f t="shared" si="4"/>
        <v/>
      </c>
      <c r="C50" s="470">
        <f>IF(D11="","-",+C49+1)</f>
        <v>2040</v>
      </c>
      <c r="D50" s="483">
        <f>IF(F49+SUM(E$17:E49)=D$10,F49,D$10-SUM(E$17:E49))</f>
        <v>21515</v>
      </c>
      <c r="E50" s="482">
        <f>IF(+I14&lt;F49,I14,D50)</f>
        <v>2165</v>
      </c>
      <c r="F50" s="483">
        <f t="shared" si="26"/>
        <v>19350</v>
      </c>
      <c r="G50" s="484">
        <f t="shared" si="24"/>
        <v>4603.8017592949855</v>
      </c>
      <c r="H50" s="453">
        <f t="shared" si="25"/>
        <v>4603.8017592949855</v>
      </c>
      <c r="I50" s="473">
        <f t="shared" si="27"/>
        <v>0</v>
      </c>
      <c r="J50" s="473"/>
      <c r="K50" s="485"/>
      <c r="L50" s="476">
        <f t="shared" si="28"/>
        <v>0</v>
      </c>
      <c r="M50" s="485"/>
      <c r="N50" s="476">
        <f t="shared" si="29"/>
        <v>0</v>
      </c>
      <c r="O50" s="476">
        <f t="shared" si="30"/>
        <v>0</v>
      </c>
      <c r="P50" s="241"/>
    </row>
    <row r="51" spans="2:16" ht="12.5">
      <c r="B51" s="160" t="str">
        <f t="shared" si="4"/>
        <v/>
      </c>
      <c r="C51" s="470">
        <f>IF(D11="","-",+C50+1)</f>
        <v>2041</v>
      </c>
      <c r="D51" s="483">
        <f>IF(F50+SUM(E$17:E50)=D$10,F50,D$10-SUM(E$17:E50))</f>
        <v>19350</v>
      </c>
      <c r="E51" s="482">
        <f>IF(+I14&lt;F50,I14,D51)</f>
        <v>2165</v>
      </c>
      <c r="F51" s="483">
        <f t="shared" si="26"/>
        <v>17185</v>
      </c>
      <c r="G51" s="484">
        <f t="shared" si="24"/>
        <v>4345.3896311230219</v>
      </c>
      <c r="H51" s="453">
        <f t="shared" si="25"/>
        <v>4345.3896311230219</v>
      </c>
      <c r="I51" s="473">
        <f t="shared" si="27"/>
        <v>0</v>
      </c>
      <c r="J51" s="473"/>
      <c r="K51" s="485"/>
      <c r="L51" s="476">
        <f t="shared" si="28"/>
        <v>0</v>
      </c>
      <c r="M51" s="485"/>
      <c r="N51" s="476">
        <f t="shared" si="29"/>
        <v>0</v>
      </c>
      <c r="O51" s="476">
        <f t="shared" si="30"/>
        <v>0</v>
      </c>
      <c r="P51" s="241"/>
    </row>
    <row r="52" spans="2:16" ht="12.5">
      <c r="B52" s="160" t="str">
        <f t="shared" si="4"/>
        <v/>
      </c>
      <c r="C52" s="470">
        <f>IF(D11="","-",+C51+1)</f>
        <v>2042</v>
      </c>
      <c r="D52" s="483">
        <f>IF(F51+SUM(E$17:E51)=D$10,F51,D$10-SUM(E$17:E51))</f>
        <v>17185</v>
      </c>
      <c r="E52" s="482">
        <f>IF(+I14&lt;F51,I14,D52)</f>
        <v>2165</v>
      </c>
      <c r="F52" s="483">
        <f t="shared" si="26"/>
        <v>15020</v>
      </c>
      <c r="G52" s="484">
        <f t="shared" si="24"/>
        <v>4086.9775029510583</v>
      </c>
      <c r="H52" s="453">
        <f t="shared" si="25"/>
        <v>4086.9775029510583</v>
      </c>
      <c r="I52" s="473">
        <f t="shared" si="27"/>
        <v>0</v>
      </c>
      <c r="J52" s="473"/>
      <c r="K52" s="485"/>
      <c r="L52" s="476">
        <f t="shared" si="28"/>
        <v>0</v>
      </c>
      <c r="M52" s="485"/>
      <c r="N52" s="476">
        <f t="shared" si="29"/>
        <v>0</v>
      </c>
      <c r="O52" s="476">
        <f t="shared" si="30"/>
        <v>0</v>
      </c>
      <c r="P52" s="241"/>
    </row>
    <row r="53" spans="2:16" ht="12.5">
      <c r="B53" s="160" t="str">
        <f t="shared" si="4"/>
        <v/>
      </c>
      <c r="C53" s="470">
        <f>IF(D11="","-",+C52+1)</f>
        <v>2043</v>
      </c>
      <c r="D53" s="483">
        <f>IF(F52+SUM(E$17:E52)=D$10,F52,D$10-SUM(E$17:E52))</f>
        <v>15020</v>
      </c>
      <c r="E53" s="482">
        <f>IF(+I14&lt;F52,I14,D53)</f>
        <v>2165</v>
      </c>
      <c r="F53" s="483">
        <f t="shared" si="26"/>
        <v>12855</v>
      </c>
      <c r="G53" s="484">
        <f t="shared" si="24"/>
        <v>3828.5653747790952</v>
      </c>
      <c r="H53" s="453">
        <f t="shared" si="25"/>
        <v>3828.5653747790952</v>
      </c>
      <c r="I53" s="473">
        <f t="shared" si="27"/>
        <v>0</v>
      </c>
      <c r="J53" s="473"/>
      <c r="K53" s="485"/>
      <c r="L53" s="476">
        <f t="shared" si="28"/>
        <v>0</v>
      </c>
      <c r="M53" s="485"/>
      <c r="N53" s="476">
        <f t="shared" si="29"/>
        <v>0</v>
      </c>
      <c r="O53" s="476">
        <f t="shared" si="30"/>
        <v>0</v>
      </c>
      <c r="P53" s="241"/>
    </row>
    <row r="54" spans="2:16" ht="12.5">
      <c r="B54" s="160" t="str">
        <f t="shared" si="4"/>
        <v/>
      </c>
      <c r="C54" s="470">
        <f>IF(D11="","-",+C53+1)</f>
        <v>2044</v>
      </c>
      <c r="D54" s="483">
        <f>IF(F53+SUM(E$17:E53)=D$10,F53,D$10-SUM(E$17:E53))</f>
        <v>12855</v>
      </c>
      <c r="E54" s="482">
        <f>IF(+I14&lt;F53,I14,D54)</f>
        <v>2165</v>
      </c>
      <c r="F54" s="483">
        <f t="shared" si="26"/>
        <v>10690</v>
      </c>
      <c r="G54" s="484">
        <f t="shared" si="24"/>
        <v>3570.1532466071317</v>
      </c>
      <c r="H54" s="453">
        <f t="shared" si="25"/>
        <v>3570.1532466071317</v>
      </c>
      <c r="I54" s="473">
        <f t="shared" si="27"/>
        <v>0</v>
      </c>
      <c r="J54" s="473"/>
      <c r="K54" s="485"/>
      <c r="L54" s="476">
        <f t="shared" si="28"/>
        <v>0</v>
      </c>
      <c r="M54" s="485"/>
      <c r="N54" s="476">
        <f t="shared" si="29"/>
        <v>0</v>
      </c>
      <c r="O54" s="476">
        <f t="shared" si="30"/>
        <v>0</v>
      </c>
      <c r="P54" s="241"/>
    </row>
    <row r="55" spans="2:16" ht="12.5">
      <c r="B55" s="160" t="str">
        <f t="shared" si="4"/>
        <v/>
      </c>
      <c r="C55" s="470">
        <f>IF(D11="","-",+C54+1)</f>
        <v>2045</v>
      </c>
      <c r="D55" s="483">
        <f>IF(F54+SUM(E$17:E54)=D$10,F54,D$10-SUM(E$17:E54))</f>
        <v>10690</v>
      </c>
      <c r="E55" s="482">
        <f>IF(+I14&lt;F54,I14,D55)</f>
        <v>2165</v>
      </c>
      <c r="F55" s="483">
        <f t="shared" si="26"/>
        <v>8525</v>
      </c>
      <c r="G55" s="484">
        <f t="shared" si="24"/>
        <v>3311.7411184351681</v>
      </c>
      <c r="H55" s="453">
        <f t="shared" si="25"/>
        <v>3311.7411184351681</v>
      </c>
      <c r="I55" s="473">
        <f t="shared" si="27"/>
        <v>0</v>
      </c>
      <c r="J55" s="473"/>
      <c r="K55" s="485"/>
      <c r="L55" s="476">
        <f t="shared" si="28"/>
        <v>0</v>
      </c>
      <c r="M55" s="485"/>
      <c r="N55" s="476">
        <f t="shared" si="29"/>
        <v>0</v>
      </c>
      <c r="O55" s="476">
        <f t="shared" si="30"/>
        <v>0</v>
      </c>
      <c r="P55" s="241"/>
    </row>
    <row r="56" spans="2:16" ht="12.5">
      <c r="B56" s="160" t="str">
        <f t="shared" si="4"/>
        <v/>
      </c>
      <c r="C56" s="470">
        <f>IF(D11="","-",+C55+1)</f>
        <v>2046</v>
      </c>
      <c r="D56" s="483">
        <f>IF(F55+SUM(E$17:E55)=D$10,F55,D$10-SUM(E$17:E55))</f>
        <v>8525</v>
      </c>
      <c r="E56" s="482">
        <f>IF(+I14&lt;F55,I14,D56)</f>
        <v>2165</v>
      </c>
      <c r="F56" s="483">
        <f t="shared" si="26"/>
        <v>6360</v>
      </c>
      <c r="G56" s="484">
        <f t="shared" si="24"/>
        <v>3053.328990263205</v>
      </c>
      <c r="H56" s="453">
        <f t="shared" si="25"/>
        <v>3053.328990263205</v>
      </c>
      <c r="I56" s="473">
        <f t="shared" si="27"/>
        <v>0</v>
      </c>
      <c r="J56" s="473"/>
      <c r="K56" s="485"/>
      <c r="L56" s="476">
        <f t="shared" si="28"/>
        <v>0</v>
      </c>
      <c r="M56" s="485"/>
      <c r="N56" s="476">
        <f t="shared" si="29"/>
        <v>0</v>
      </c>
      <c r="O56" s="476">
        <f t="shared" si="30"/>
        <v>0</v>
      </c>
      <c r="P56" s="241"/>
    </row>
    <row r="57" spans="2:16" ht="12.5">
      <c r="B57" s="160" t="str">
        <f t="shared" si="4"/>
        <v/>
      </c>
      <c r="C57" s="470">
        <f>IF(D11="","-",+C56+1)</f>
        <v>2047</v>
      </c>
      <c r="D57" s="483">
        <f>IF(F56+SUM(E$17:E56)=D$10,F56,D$10-SUM(E$17:E56))</f>
        <v>6360</v>
      </c>
      <c r="E57" s="482">
        <f>IF(+I14&lt;F56,I14,D57)</f>
        <v>2165</v>
      </c>
      <c r="F57" s="483">
        <f t="shared" si="26"/>
        <v>4195</v>
      </c>
      <c r="G57" s="484">
        <f t="shared" si="24"/>
        <v>2794.9168620912415</v>
      </c>
      <c r="H57" s="453">
        <f t="shared" si="25"/>
        <v>2794.9168620912415</v>
      </c>
      <c r="I57" s="473">
        <f t="shared" si="27"/>
        <v>0</v>
      </c>
      <c r="J57" s="473"/>
      <c r="K57" s="485"/>
      <c r="L57" s="476">
        <f t="shared" si="28"/>
        <v>0</v>
      </c>
      <c r="M57" s="485"/>
      <c r="N57" s="476">
        <f t="shared" si="29"/>
        <v>0</v>
      </c>
      <c r="O57" s="476">
        <f t="shared" si="30"/>
        <v>0</v>
      </c>
      <c r="P57" s="241"/>
    </row>
    <row r="58" spans="2:16" ht="12.5">
      <c r="B58" s="160" t="str">
        <f t="shared" si="4"/>
        <v/>
      </c>
      <c r="C58" s="470">
        <f>IF(D11="","-",+C57+1)</f>
        <v>2048</v>
      </c>
      <c r="D58" s="483">
        <f>IF(F57+SUM(E$17:E57)=D$10,F57,D$10-SUM(E$17:E57))</f>
        <v>4195</v>
      </c>
      <c r="E58" s="482">
        <f>IF(+I14&lt;F57,I14,D58)</f>
        <v>2165</v>
      </c>
      <c r="F58" s="483">
        <f t="shared" si="26"/>
        <v>2030</v>
      </c>
      <c r="G58" s="484">
        <f t="shared" si="24"/>
        <v>2536.5047339192779</v>
      </c>
      <c r="H58" s="453">
        <f t="shared" si="25"/>
        <v>2536.5047339192779</v>
      </c>
      <c r="I58" s="473">
        <f t="shared" si="27"/>
        <v>0</v>
      </c>
      <c r="J58" s="473"/>
      <c r="K58" s="485"/>
      <c r="L58" s="476">
        <f t="shared" si="28"/>
        <v>0</v>
      </c>
      <c r="M58" s="485"/>
      <c r="N58" s="476">
        <f t="shared" si="29"/>
        <v>0</v>
      </c>
      <c r="O58" s="476">
        <f t="shared" si="30"/>
        <v>0</v>
      </c>
      <c r="P58" s="241"/>
    </row>
    <row r="59" spans="2:16" ht="12.5">
      <c r="B59" s="160" t="str">
        <f t="shared" si="4"/>
        <v/>
      </c>
      <c r="C59" s="470">
        <f>IF(D11="","-",+C58+1)</f>
        <v>2049</v>
      </c>
      <c r="D59" s="483">
        <f>IF(F58+SUM(E$17:E58)=D$10,F58,D$10-SUM(E$17:E58))</f>
        <v>2030</v>
      </c>
      <c r="E59" s="482">
        <f>IF(+I14&lt;F58,I14,D59)</f>
        <v>2030</v>
      </c>
      <c r="F59" s="483">
        <f t="shared" si="26"/>
        <v>0</v>
      </c>
      <c r="G59" s="484">
        <f t="shared" si="24"/>
        <v>2151.1493349166481</v>
      </c>
      <c r="H59" s="453">
        <f t="shared" si="25"/>
        <v>2151.1493349166481</v>
      </c>
      <c r="I59" s="473">
        <f t="shared" si="27"/>
        <v>0</v>
      </c>
      <c r="J59" s="473"/>
      <c r="K59" s="485"/>
      <c r="L59" s="476">
        <f t="shared" si="28"/>
        <v>0</v>
      </c>
      <c r="M59" s="485"/>
      <c r="N59" s="476">
        <f t="shared" si="29"/>
        <v>0</v>
      </c>
      <c r="O59" s="476">
        <f t="shared" si="30"/>
        <v>0</v>
      </c>
      <c r="P59" s="241"/>
    </row>
    <row r="60" spans="2:16" ht="12.5">
      <c r="B60" s="160" t="str">
        <f t="shared" si="4"/>
        <v/>
      </c>
      <c r="C60" s="470">
        <f>IF(D11="","-",+C59+1)</f>
        <v>2050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6"/>
        <v>0</v>
      </c>
      <c r="G60" s="484">
        <f t="shared" si="24"/>
        <v>0</v>
      </c>
      <c r="H60" s="453">
        <f t="shared" si="25"/>
        <v>0</v>
      </c>
      <c r="I60" s="473">
        <f t="shared" si="27"/>
        <v>0</v>
      </c>
      <c r="J60" s="473"/>
      <c r="K60" s="485"/>
      <c r="L60" s="476">
        <f t="shared" si="28"/>
        <v>0</v>
      </c>
      <c r="M60" s="485"/>
      <c r="N60" s="476">
        <f t="shared" si="29"/>
        <v>0</v>
      </c>
      <c r="O60" s="476">
        <f t="shared" si="30"/>
        <v>0</v>
      </c>
      <c r="P60" s="241"/>
    </row>
    <row r="61" spans="2:16" ht="12.5">
      <c r="B61" s="160" t="str">
        <f t="shared" si="4"/>
        <v/>
      </c>
      <c r="C61" s="470">
        <f>IF(D11="","-",+C60+1)</f>
        <v>2051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6"/>
        <v>0</v>
      </c>
      <c r="G61" s="484">
        <f t="shared" si="24"/>
        <v>0</v>
      </c>
      <c r="H61" s="453">
        <f t="shared" si="25"/>
        <v>0</v>
      </c>
      <c r="I61" s="473">
        <f t="shared" si="27"/>
        <v>0</v>
      </c>
      <c r="J61" s="473"/>
      <c r="K61" s="485"/>
      <c r="L61" s="476">
        <f t="shared" si="28"/>
        <v>0</v>
      </c>
      <c r="M61" s="485"/>
      <c r="N61" s="476">
        <f t="shared" si="29"/>
        <v>0</v>
      </c>
      <c r="O61" s="476">
        <f t="shared" si="30"/>
        <v>0</v>
      </c>
      <c r="P61" s="241"/>
    </row>
    <row r="62" spans="2:16" ht="12.5">
      <c r="B62" s="160" t="str">
        <f t="shared" si="4"/>
        <v/>
      </c>
      <c r="C62" s="470">
        <f>IF(D11="","-",+C61+1)</f>
        <v>2052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6"/>
        <v>0</v>
      </c>
      <c r="G62" s="484">
        <f t="shared" si="24"/>
        <v>0</v>
      </c>
      <c r="H62" s="453">
        <f t="shared" si="25"/>
        <v>0</v>
      </c>
      <c r="I62" s="473">
        <f t="shared" si="27"/>
        <v>0</v>
      </c>
      <c r="J62" s="473"/>
      <c r="K62" s="485"/>
      <c r="L62" s="476">
        <f t="shared" si="28"/>
        <v>0</v>
      </c>
      <c r="M62" s="485"/>
      <c r="N62" s="476">
        <f t="shared" si="29"/>
        <v>0</v>
      </c>
      <c r="O62" s="476">
        <f t="shared" si="30"/>
        <v>0</v>
      </c>
      <c r="P62" s="241"/>
    </row>
    <row r="63" spans="2:16" ht="12.5">
      <c r="B63" s="160" t="str">
        <f t="shared" si="4"/>
        <v/>
      </c>
      <c r="C63" s="470">
        <f>IF(D11="","-",+C62+1)</f>
        <v>2053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6"/>
        <v>0</v>
      </c>
      <c r="G63" s="484">
        <f t="shared" si="24"/>
        <v>0</v>
      </c>
      <c r="H63" s="453">
        <f t="shared" si="25"/>
        <v>0</v>
      </c>
      <c r="I63" s="473">
        <f t="shared" si="27"/>
        <v>0</v>
      </c>
      <c r="J63" s="473"/>
      <c r="K63" s="485"/>
      <c r="L63" s="476">
        <f t="shared" si="28"/>
        <v>0</v>
      </c>
      <c r="M63" s="485"/>
      <c r="N63" s="476">
        <f t="shared" si="29"/>
        <v>0</v>
      </c>
      <c r="O63" s="476">
        <f t="shared" si="30"/>
        <v>0</v>
      </c>
      <c r="P63" s="241"/>
    </row>
    <row r="64" spans="2:16" ht="12.5">
      <c r="B64" s="160" t="str">
        <f t="shared" si="4"/>
        <v/>
      </c>
      <c r="C64" s="470">
        <f>IF(D11="","-",+C63+1)</f>
        <v>2054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6"/>
        <v>0</v>
      </c>
      <c r="G64" s="484">
        <f t="shared" si="24"/>
        <v>0</v>
      </c>
      <c r="H64" s="453">
        <f t="shared" si="25"/>
        <v>0</v>
      </c>
      <c r="I64" s="473">
        <f t="shared" si="27"/>
        <v>0</v>
      </c>
      <c r="J64" s="473"/>
      <c r="K64" s="485"/>
      <c r="L64" s="476">
        <f t="shared" si="28"/>
        <v>0</v>
      </c>
      <c r="M64" s="485"/>
      <c r="N64" s="476">
        <f t="shared" si="29"/>
        <v>0</v>
      </c>
      <c r="O64" s="476">
        <f t="shared" si="30"/>
        <v>0</v>
      </c>
      <c r="P64" s="241"/>
    </row>
    <row r="65" spans="2:16" ht="12.5">
      <c r="B65" s="160" t="str">
        <f t="shared" si="4"/>
        <v/>
      </c>
      <c r="C65" s="470">
        <f>IF(D11="","-",+C64+1)</f>
        <v>2055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6"/>
        <v>0</v>
      </c>
      <c r="G65" s="484">
        <f t="shared" si="24"/>
        <v>0</v>
      </c>
      <c r="H65" s="453">
        <f t="shared" si="25"/>
        <v>0</v>
      </c>
      <c r="I65" s="473">
        <f t="shared" si="27"/>
        <v>0</v>
      </c>
      <c r="J65" s="473"/>
      <c r="K65" s="485"/>
      <c r="L65" s="476">
        <f t="shared" si="28"/>
        <v>0</v>
      </c>
      <c r="M65" s="485"/>
      <c r="N65" s="476">
        <f t="shared" si="29"/>
        <v>0</v>
      </c>
      <c r="O65" s="476">
        <f t="shared" si="30"/>
        <v>0</v>
      </c>
      <c r="P65" s="241"/>
    </row>
    <row r="66" spans="2:16" ht="12.5">
      <c r="B66" s="160" t="str">
        <f t="shared" si="4"/>
        <v/>
      </c>
      <c r="C66" s="470">
        <f>IF(D11="","-",+C65+1)</f>
        <v>2056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6"/>
        <v>0</v>
      </c>
      <c r="G66" s="484">
        <f t="shared" si="24"/>
        <v>0</v>
      </c>
      <c r="H66" s="453">
        <f t="shared" si="25"/>
        <v>0</v>
      </c>
      <c r="I66" s="473">
        <f t="shared" si="27"/>
        <v>0</v>
      </c>
      <c r="J66" s="473"/>
      <c r="K66" s="485"/>
      <c r="L66" s="476">
        <f t="shared" si="28"/>
        <v>0</v>
      </c>
      <c r="M66" s="485"/>
      <c r="N66" s="476">
        <f t="shared" si="29"/>
        <v>0</v>
      </c>
      <c r="O66" s="476">
        <f t="shared" si="30"/>
        <v>0</v>
      </c>
      <c r="P66" s="241"/>
    </row>
    <row r="67" spans="2:16" ht="12.5">
      <c r="B67" s="160" t="str">
        <f t="shared" si="4"/>
        <v/>
      </c>
      <c r="C67" s="470">
        <f>IF(D11="","-",+C66+1)</f>
        <v>2057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6"/>
        <v>0</v>
      </c>
      <c r="G67" s="484">
        <f t="shared" si="24"/>
        <v>0</v>
      </c>
      <c r="H67" s="453">
        <f t="shared" si="25"/>
        <v>0</v>
      </c>
      <c r="I67" s="473">
        <f t="shared" si="27"/>
        <v>0</v>
      </c>
      <c r="J67" s="473"/>
      <c r="K67" s="485"/>
      <c r="L67" s="476">
        <f t="shared" si="28"/>
        <v>0</v>
      </c>
      <c r="M67" s="485"/>
      <c r="N67" s="476">
        <f t="shared" si="29"/>
        <v>0</v>
      </c>
      <c r="O67" s="476">
        <f t="shared" si="30"/>
        <v>0</v>
      </c>
      <c r="P67" s="241"/>
    </row>
    <row r="68" spans="2:16" ht="12.5">
      <c r="B68" s="160" t="str">
        <f t="shared" si="4"/>
        <v/>
      </c>
      <c r="C68" s="470">
        <f>IF(D11="","-",+C67+1)</f>
        <v>2058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6"/>
        <v>0</v>
      </c>
      <c r="G68" s="484">
        <f t="shared" si="24"/>
        <v>0</v>
      </c>
      <c r="H68" s="453">
        <f t="shared" si="25"/>
        <v>0</v>
      </c>
      <c r="I68" s="473">
        <f t="shared" si="27"/>
        <v>0</v>
      </c>
      <c r="J68" s="473"/>
      <c r="K68" s="485"/>
      <c r="L68" s="476">
        <f t="shared" si="28"/>
        <v>0</v>
      </c>
      <c r="M68" s="485"/>
      <c r="N68" s="476">
        <f t="shared" si="29"/>
        <v>0</v>
      </c>
      <c r="O68" s="476">
        <f t="shared" si="30"/>
        <v>0</v>
      </c>
      <c r="P68" s="241"/>
    </row>
    <row r="69" spans="2:16" ht="12.5">
      <c r="B69" s="160" t="str">
        <f t="shared" si="4"/>
        <v/>
      </c>
      <c r="C69" s="470">
        <f>IF(D11="","-",+C68+1)</f>
        <v>2059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6"/>
        <v>0</v>
      </c>
      <c r="G69" s="484">
        <f t="shared" si="24"/>
        <v>0</v>
      </c>
      <c r="H69" s="453">
        <f t="shared" si="25"/>
        <v>0</v>
      </c>
      <c r="I69" s="473">
        <f t="shared" si="27"/>
        <v>0</v>
      </c>
      <c r="J69" s="473"/>
      <c r="K69" s="485"/>
      <c r="L69" s="476">
        <f t="shared" si="28"/>
        <v>0</v>
      </c>
      <c r="M69" s="485"/>
      <c r="N69" s="476">
        <f t="shared" si="29"/>
        <v>0</v>
      </c>
      <c r="O69" s="476">
        <f t="shared" si="30"/>
        <v>0</v>
      </c>
      <c r="P69" s="241"/>
    </row>
    <row r="70" spans="2:16" ht="12.5">
      <c r="B70" s="160" t="str">
        <f t="shared" si="4"/>
        <v/>
      </c>
      <c r="C70" s="470">
        <f>IF(D11="","-",+C69+1)</f>
        <v>2060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6"/>
        <v>0</v>
      </c>
      <c r="G70" s="484">
        <f t="shared" si="24"/>
        <v>0</v>
      </c>
      <c r="H70" s="453">
        <f t="shared" si="25"/>
        <v>0</v>
      </c>
      <c r="I70" s="473">
        <f t="shared" si="27"/>
        <v>0</v>
      </c>
      <c r="J70" s="473"/>
      <c r="K70" s="485"/>
      <c r="L70" s="476">
        <f t="shared" si="28"/>
        <v>0</v>
      </c>
      <c r="M70" s="485"/>
      <c r="N70" s="476">
        <f t="shared" si="29"/>
        <v>0</v>
      </c>
      <c r="O70" s="476">
        <f t="shared" si="30"/>
        <v>0</v>
      </c>
      <c r="P70" s="241"/>
    </row>
    <row r="71" spans="2:16" ht="12.5">
      <c r="B71" s="160" t="str">
        <f t="shared" si="4"/>
        <v/>
      </c>
      <c r="C71" s="470">
        <f>IF(D11="","-",+C70+1)</f>
        <v>2061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6"/>
        <v>0</v>
      </c>
      <c r="G71" s="484">
        <f t="shared" si="24"/>
        <v>0</v>
      </c>
      <c r="H71" s="453">
        <f t="shared" si="25"/>
        <v>0</v>
      </c>
      <c r="I71" s="473">
        <f t="shared" si="27"/>
        <v>0</v>
      </c>
      <c r="J71" s="473"/>
      <c r="K71" s="485"/>
      <c r="L71" s="476">
        <f t="shared" si="28"/>
        <v>0</v>
      </c>
      <c r="M71" s="485"/>
      <c r="N71" s="476">
        <f t="shared" si="29"/>
        <v>0</v>
      </c>
      <c r="O71" s="476">
        <f t="shared" si="30"/>
        <v>0</v>
      </c>
      <c r="P71" s="241"/>
    </row>
    <row r="72" spans="2:16" ht="13" thickBot="1">
      <c r="B72" s="160" t="str">
        <f t="shared" si="4"/>
        <v/>
      </c>
      <c r="C72" s="487">
        <f>IF(D11="","-",+C71+1)</f>
        <v>2062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6"/>
        <v>0</v>
      </c>
      <c r="G72" s="488">
        <f t="shared" ref="G72" si="31">(D72+F72)/2*I$12+E72</f>
        <v>0</v>
      </c>
      <c r="H72" s="488">
        <f t="shared" ref="H72" si="32">+(D72+F72)/2*I$13+E72</f>
        <v>0</v>
      </c>
      <c r="I72" s="491">
        <f t="shared" si="27"/>
        <v>0</v>
      </c>
      <c r="J72" s="473"/>
      <c r="K72" s="492"/>
      <c r="L72" s="493">
        <f t="shared" si="28"/>
        <v>0</v>
      </c>
      <c r="M72" s="492"/>
      <c r="N72" s="493">
        <f t="shared" si="29"/>
        <v>0</v>
      </c>
      <c r="O72" s="493">
        <f t="shared" si="30"/>
        <v>0</v>
      </c>
      <c r="P72" s="241"/>
    </row>
    <row r="73" spans="2:16" ht="12.5">
      <c r="C73" s="345" t="s">
        <v>77</v>
      </c>
      <c r="D73" s="346"/>
      <c r="E73" s="346">
        <f>SUM(E17:E72)</f>
        <v>84424</v>
      </c>
      <c r="F73" s="346"/>
      <c r="G73" s="346">
        <f>SUM(G17:G72)</f>
        <v>293096.07448195759</v>
      </c>
      <c r="H73" s="346">
        <f>SUM(H17:H72)</f>
        <v>293096.07448195759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7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8867.6018741323824</v>
      </c>
      <c r="N87" s="506">
        <f>IF(J92&lt;D11,0,VLOOKUP(J92,C17:O72,11))</f>
        <v>8867.6018741323824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8682.4536667105749</v>
      </c>
      <c r="N88" s="510">
        <f>IF(J92&lt;D11,0,VLOOKUP(J92,C99:P154,7))</f>
        <v>8682.4536667105749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Elk City - Elk City 69 kV line (CT Upgrades)*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-185.14820742180746</v>
      </c>
      <c r="N89" s="515">
        <f>+N88-N87</f>
        <v>-185.14820742180746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TP2007015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84424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12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2222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2007</v>
      </c>
      <c r="D99" s="471">
        <v>0</v>
      </c>
      <c r="E99" s="478">
        <v>0</v>
      </c>
      <c r="F99" s="477">
        <v>84424</v>
      </c>
      <c r="G99" s="535">
        <v>42212</v>
      </c>
      <c r="H99" s="536">
        <v>0</v>
      </c>
      <c r="I99" s="537">
        <v>0</v>
      </c>
      <c r="J99" s="476">
        <f t="shared" ref="J99:J130" si="33">+I99-H99</f>
        <v>0</v>
      </c>
      <c r="K99" s="476"/>
      <c r="L99" s="552">
        <v>0</v>
      </c>
      <c r="M99" s="475">
        <f t="shared" ref="M99:M130" si="34">IF(L99&lt;&gt;0,+H99-L99,0)</f>
        <v>0</v>
      </c>
      <c r="N99" s="552">
        <v>0</v>
      </c>
      <c r="O99" s="475">
        <f t="shared" ref="O99:O130" si="35">IF(N99&lt;&gt;0,+I99-N99,0)</f>
        <v>0</v>
      </c>
      <c r="P99" s="475">
        <f t="shared" ref="P99:P130" si="36">+O99-M99</f>
        <v>0</v>
      </c>
    </row>
    <row r="100" spans="1:16" ht="12.5">
      <c r="B100" s="160" t="str">
        <f>IF(D100=F99,"","IU")</f>
        <v/>
      </c>
      <c r="C100" s="470">
        <f>IF(D93="","-",+C99+1)</f>
        <v>2008</v>
      </c>
      <c r="D100" s="471">
        <v>84424</v>
      </c>
      <c r="E100" s="478">
        <v>1593</v>
      </c>
      <c r="F100" s="477">
        <v>82831</v>
      </c>
      <c r="G100" s="477">
        <v>83628</v>
      </c>
      <c r="H100" s="478">
        <v>14877</v>
      </c>
      <c r="I100" s="479">
        <v>14877</v>
      </c>
      <c r="J100" s="476">
        <f t="shared" si="33"/>
        <v>0</v>
      </c>
      <c r="K100" s="476"/>
      <c r="L100" s="474">
        <v>14877</v>
      </c>
      <c r="M100" s="476">
        <f t="shared" si="34"/>
        <v>0</v>
      </c>
      <c r="N100" s="474">
        <v>14877</v>
      </c>
      <c r="O100" s="476">
        <f t="shared" si="35"/>
        <v>0</v>
      </c>
      <c r="P100" s="476">
        <f t="shared" si="36"/>
        <v>0</v>
      </c>
    </row>
    <row r="101" spans="1:16" ht="12.5">
      <c r="B101" s="160" t="str">
        <f t="shared" ref="B101:B154" si="37">IF(D101=F100,"","IU")</f>
        <v/>
      </c>
      <c r="C101" s="470">
        <f>IF(D93="","-",+C100+1)</f>
        <v>2009</v>
      </c>
      <c r="D101" s="471">
        <v>82831</v>
      </c>
      <c r="E101" s="478">
        <v>1508</v>
      </c>
      <c r="F101" s="477">
        <v>81323</v>
      </c>
      <c r="G101" s="477">
        <v>82077</v>
      </c>
      <c r="H101" s="478">
        <v>13508.337143636172</v>
      </c>
      <c r="I101" s="479">
        <v>13508.337143636172</v>
      </c>
      <c r="J101" s="476">
        <f t="shared" si="33"/>
        <v>0</v>
      </c>
      <c r="K101" s="476"/>
      <c r="L101" s="538">
        <f t="shared" ref="L101:L106" si="38">H101</f>
        <v>13508.337143636172</v>
      </c>
      <c r="M101" s="539">
        <f t="shared" si="34"/>
        <v>0</v>
      </c>
      <c r="N101" s="538">
        <f t="shared" ref="N101:N106" si="39">I101</f>
        <v>13508.337143636172</v>
      </c>
      <c r="O101" s="476">
        <f t="shared" si="35"/>
        <v>0</v>
      </c>
      <c r="P101" s="476">
        <f t="shared" si="36"/>
        <v>0</v>
      </c>
    </row>
    <row r="102" spans="1:16" ht="12.5">
      <c r="B102" s="160" t="str">
        <f t="shared" si="37"/>
        <v/>
      </c>
      <c r="C102" s="470">
        <f>IF(D93="","-",+C101+1)</f>
        <v>2010</v>
      </c>
      <c r="D102" s="471">
        <v>81323</v>
      </c>
      <c r="E102" s="478">
        <v>1655</v>
      </c>
      <c r="F102" s="477">
        <v>79668</v>
      </c>
      <c r="G102" s="477">
        <v>80495.5</v>
      </c>
      <c r="H102" s="478">
        <v>14599.901682354179</v>
      </c>
      <c r="I102" s="479">
        <v>14599.901682354179</v>
      </c>
      <c r="J102" s="476">
        <f t="shared" si="33"/>
        <v>0</v>
      </c>
      <c r="K102" s="476"/>
      <c r="L102" s="538">
        <f t="shared" si="38"/>
        <v>14599.901682354179</v>
      </c>
      <c r="M102" s="539">
        <f t="shared" si="34"/>
        <v>0</v>
      </c>
      <c r="N102" s="538">
        <f t="shared" si="39"/>
        <v>14599.901682354179</v>
      </c>
      <c r="O102" s="476">
        <f t="shared" si="35"/>
        <v>0</v>
      </c>
      <c r="P102" s="476">
        <f t="shared" si="36"/>
        <v>0</v>
      </c>
    </row>
    <row r="103" spans="1:16" ht="12.5">
      <c r="B103" s="160" t="str">
        <f t="shared" si="37"/>
        <v/>
      </c>
      <c r="C103" s="470">
        <f>IF(D93="","-",+C102+1)</f>
        <v>2011</v>
      </c>
      <c r="D103" s="471">
        <v>79668</v>
      </c>
      <c r="E103" s="478">
        <v>1624</v>
      </c>
      <c r="F103" s="477">
        <v>78044</v>
      </c>
      <c r="G103" s="477">
        <v>78856</v>
      </c>
      <c r="H103" s="478">
        <v>12649.128461660426</v>
      </c>
      <c r="I103" s="479">
        <v>12649.128461660426</v>
      </c>
      <c r="J103" s="476">
        <f t="shared" si="33"/>
        <v>0</v>
      </c>
      <c r="K103" s="476"/>
      <c r="L103" s="538">
        <f t="shared" si="38"/>
        <v>12649.128461660426</v>
      </c>
      <c r="M103" s="539">
        <f t="shared" si="34"/>
        <v>0</v>
      </c>
      <c r="N103" s="538">
        <f t="shared" si="39"/>
        <v>12649.128461660426</v>
      </c>
      <c r="O103" s="476">
        <f t="shared" si="35"/>
        <v>0</v>
      </c>
      <c r="P103" s="476">
        <f t="shared" si="36"/>
        <v>0</v>
      </c>
    </row>
    <row r="104" spans="1:16" ht="12.5">
      <c r="B104" s="160" t="str">
        <f t="shared" si="37"/>
        <v/>
      </c>
      <c r="C104" s="470">
        <f>IF(D93="","-",+C103+1)</f>
        <v>2012</v>
      </c>
      <c r="D104" s="471">
        <v>78044</v>
      </c>
      <c r="E104" s="478">
        <v>1624</v>
      </c>
      <c r="F104" s="477">
        <v>76420</v>
      </c>
      <c r="G104" s="477">
        <v>77232</v>
      </c>
      <c r="H104" s="478">
        <v>12734.246570183563</v>
      </c>
      <c r="I104" s="479">
        <v>12734.246570183563</v>
      </c>
      <c r="J104" s="476">
        <v>0</v>
      </c>
      <c r="K104" s="476"/>
      <c r="L104" s="538">
        <f t="shared" si="38"/>
        <v>12734.246570183563</v>
      </c>
      <c r="M104" s="539">
        <f t="shared" ref="M104:M109" si="40">IF(L104&lt;&gt;0,+H104-L104,0)</f>
        <v>0</v>
      </c>
      <c r="N104" s="538">
        <f t="shared" si="39"/>
        <v>12734.246570183563</v>
      </c>
      <c r="O104" s="476">
        <f t="shared" ref="O104:O109" si="41">IF(N104&lt;&gt;0,+I104-N104,0)</f>
        <v>0</v>
      </c>
      <c r="P104" s="476">
        <f t="shared" ref="P104:P109" si="42">+O104-M104</f>
        <v>0</v>
      </c>
    </row>
    <row r="105" spans="1:16" ht="12.5">
      <c r="B105" s="160" t="str">
        <f t="shared" si="37"/>
        <v/>
      </c>
      <c r="C105" s="470">
        <f>IF(D93="","-",+C104+1)</f>
        <v>2013</v>
      </c>
      <c r="D105" s="471">
        <v>76420</v>
      </c>
      <c r="E105" s="478">
        <v>1624</v>
      </c>
      <c r="F105" s="477">
        <v>74796</v>
      </c>
      <c r="G105" s="477">
        <v>75608</v>
      </c>
      <c r="H105" s="478">
        <v>12506.984818583547</v>
      </c>
      <c r="I105" s="479">
        <v>12506.984818583547</v>
      </c>
      <c r="J105" s="476">
        <v>0</v>
      </c>
      <c r="K105" s="476"/>
      <c r="L105" s="538">
        <f t="shared" si="38"/>
        <v>12506.984818583547</v>
      </c>
      <c r="M105" s="539">
        <f t="shared" si="40"/>
        <v>0</v>
      </c>
      <c r="N105" s="538">
        <f t="shared" si="39"/>
        <v>12506.984818583547</v>
      </c>
      <c r="O105" s="476">
        <f t="shared" si="41"/>
        <v>0</v>
      </c>
      <c r="P105" s="476">
        <f t="shared" si="42"/>
        <v>0</v>
      </c>
    </row>
    <row r="106" spans="1:16" ht="12.5">
      <c r="B106" s="160" t="str">
        <f t="shared" si="37"/>
        <v/>
      </c>
      <c r="C106" s="470">
        <f>IF(D93="","-",+C105+1)</f>
        <v>2014</v>
      </c>
      <c r="D106" s="471">
        <v>74796</v>
      </c>
      <c r="E106" s="478">
        <v>1624</v>
      </c>
      <c r="F106" s="477">
        <v>73172</v>
      </c>
      <c r="G106" s="477">
        <v>73984</v>
      </c>
      <c r="H106" s="478">
        <v>12025.847971361507</v>
      </c>
      <c r="I106" s="479">
        <v>12025.847971361507</v>
      </c>
      <c r="J106" s="476">
        <v>0</v>
      </c>
      <c r="K106" s="476"/>
      <c r="L106" s="538">
        <f t="shared" si="38"/>
        <v>12025.847971361507</v>
      </c>
      <c r="M106" s="539">
        <f t="shared" si="40"/>
        <v>0</v>
      </c>
      <c r="N106" s="538">
        <f t="shared" si="39"/>
        <v>12025.847971361507</v>
      </c>
      <c r="O106" s="476">
        <f t="shared" si="41"/>
        <v>0</v>
      </c>
      <c r="P106" s="476">
        <f t="shared" si="42"/>
        <v>0</v>
      </c>
    </row>
    <row r="107" spans="1:16" ht="12.5">
      <c r="B107" s="160" t="str">
        <f t="shared" si="37"/>
        <v/>
      </c>
      <c r="C107" s="470">
        <f>IF(D93="","-",+C106+1)</f>
        <v>2015</v>
      </c>
      <c r="D107" s="471">
        <v>73172</v>
      </c>
      <c r="E107" s="478">
        <v>1624</v>
      </c>
      <c r="F107" s="477">
        <v>71548</v>
      </c>
      <c r="G107" s="477">
        <v>72360</v>
      </c>
      <c r="H107" s="478">
        <v>11496.940196929139</v>
      </c>
      <c r="I107" s="479">
        <v>11496.940196929139</v>
      </c>
      <c r="J107" s="476">
        <f t="shared" si="33"/>
        <v>0</v>
      </c>
      <c r="K107" s="476"/>
      <c r="L107" s="538">
        <f t="shared" ref="L107:L112" si="43">H107</f>
        <v>11496.940196929139</v>
      </c>
      <c r="M107" s="539">
        <f t="shared" si="40"/>
        <v>0</v>
      </c>
      <c r="N107" s="538">
        <f t="shared" ref="N107:N112" si="44">I107</f>
        <v>11496.940196929139</v>
      </c>
      <c r="O107" s="476">
        <f t="shared" si="41"/>
        <v>0</v>
      </c>
      <c r="P107" s="476">
        <f t="shared" si="42"/>
        <v>0</v>
      </c>
    </row>
    <row r="108" spans="1:16" ht="12.5">
      <c r="B108" s="160" t="str">
        <f t="shared" si="37"/>
        <v/>
      </c>
      <c r="C108" s="470">
        <f>IF(D93="","-",+C107+1)</f>
        <v>2016</v>
      </c>
      <c r="D108" s="471">
        <v>71548</v>
      </c>
      <c r="E108" s="478">
        <v>1835</v>
      </c>
      <c r="F108" s="477">
        <v>69713</v>
      </c>
      <c r="G108" s="477">
        <v>70630.5</v>
      </c>
      <c r="H108" s="478">
        <v>10940.383800869789</v>
      </c>
      <c r="I108" s="479">
        <v>10940.383800869789</v>
      </c>
      <c r="J108" s="476">
        <f t="shared" si="33"/>
        <v>0</v>
      </c>
      <c r="K108" s="476"/>
      <c r="L108" s="538">
        <f t="shared" si="43"/>
        <v>10940.383800869789</v>
      </c>
      <c r="M108" s="539">
        <f t="shared" si="40"/>
        <v>0</v>
      </c>
      <c r="N108" s="538">
        <f t="shared" si="44"/>
        <v>10940.383800869789</v>
      </c>
      <c r="O108" s="476">
        <f t="shared" si="41"/>
        <v>0</v>
      </c>
      <c r="P108" s="476">
        <f t="shared" si="42"/>
        <v>0</v>
      </c>
    </row>
    <row r="109" spans="1:16" ht="12.5">
      <c r="B109" s="160" t="str">
        <f t="shared" si="37"/>
        <v/>
      </c>
      <c r="C109" s="470">
        <f>IF(D93="","-",+C108+1)</f>
        <v>2017</v>
      </c>
      <c r="D109" s="471">
        <v>69713</v>
      </c>
      <c r="E109" s="478">
        <v>1835</v>
      </c>
      <c r="F109" s="477">
        <v>67878</v>
      </c>
      <c r="G109" s="477">
        <v>68795.5</v>
      </c>
      <c r="H109" s="478">
        <v>10561.882642914878</v>
      </c>
      <c r="I109" s="479">
        <v>10561.882642914878</v>
      </c>
      <c r="J109" s="476">
        <f t="shared" si="33"/>
        <v>0</v>
      </c>
      <c r="K109" s="476"/>
      <c r="L109" s="538">
        <f t="shared" si="43"/>
        <v>10561.882642914878</v>
      </c>
      <c r="M109" s="539">
        <f t="shared" si="40"/>
        <v>0</v>
      </c>
      <c r="N109" s="538">
        <f t="shared" si="44"/>
        <v>10561.882642914878</v>
      </c>
      <c r="O109" s="476">
        <f t="shared" si="41"/>
        <v>0</v>
      </c>
      <c r="P109" s="476">
        <f t="shared" si="42"/>
        <v>0</v>
      </c>
    </row>
    <row r="110" spans="1:16" ht="12.5">
      <c r="B110" s="160" t="str">
        <f t="shared" si="37"/>
        <v/>
      </c>
      <c r="C110" s="470">
        <f>IF(D93="","-",+C109+1)</f>
        <v>2018</v>
      </c>
      <c r="D110" s="471">
        <v>67878</v>
      </c>
      <c r="E110" s="478">
        <v>1963</v>
      </c>
      <c r="F110" s="477">
        <v>65915</v>
      </c>
      <c r="G110" s="477">
        <v>66896.5</v>
      </c>
      <c r="H110" s="478">
        <v>8835.6498462369182</v>
      </c>
      <c r="I110" s="479">
        <v>8835.6498462369182</v>
      </c>
      <c r="J110" s="476">
        <f t="shared" si="33"/>
        <v>0</v>
      </c>
      <c r="K110" s="476"/>
      <c r="L110" s="538">
        <f t="shared" si="43"/>
        <v>8835.6498462369182</v>
      </c>
      <c r="M110" s="539">
        <f t="shared" ref="M110" si="45">IF(L110&lt;&gt;0,+H110-L110,0)</f>
        <v>0</v>
      </c>
      <c r="N110" s="538">
        <f t="shared" si="44"/>
        <v>8835.6498462369182</v>
      </c>
      <c r="O110" s="476">
        <f t="shared" ref="O110" si="46">IF(N110&lt;&gt;0,+I110-N110,0)</f>
        <v>0</v>
      </c>
      <c r="P110" s="476">
        <f t="shared" ref="P110" si="47">+O110-M110</f>
        <v>0</v>
      </c>
    </row>
    <row r="111" spans="1:16" ht="12.5">
      <c r="B111" s="160" t="str">
        <f t="shared" si="37"/>
        <v/>
      </c>
      <c r="C111" s="470">
        <f>IF(D93="","-",+C110+1)</f>
        <v>2019</v>
      </c>
      <c r="D111" s="471">
        <v>65915</v>
      </c>
      <c r="E111" s="478">
        <v>2059</v>
      </c>
      <c r="F111" s="477">
        <v>63856</v>
      </c>
      <c r="G111" s="477">
        <v>64885.5</v>
      </c>
      <c r="H111" s="478">
        <v>8749.6051392547379</v>
      </c>
      <c r="I111" s="479">
        <v>8749.6051392547379</v>
      </c>
      <c r="J111" s="476">
        <f t="shared" si="33"/>
        <v>0</v>
      </c>
      <c r="K111" s="476"/>
      <c r="L111" s="538">
        <f t="shared" si="43"/>
        <v>8749.6051392547379</v>
      </c>
      <c r="M111" s="539">
        <f t="shared" ref="M111" si="48">IF(L111&lt;&gt;0,+H111-L111,0)</f>
        <v>0</v>
      </c>
      <c r="N111" s="538">
        <f t="shared" si="44"/>
        <v>8749.6051392547379</v>
      </c>
      <c r="O111" s="476">
        <f t="shared" si="35"/>
        <v>0</v>
      </c>
      <c r="P111" s="476">
        <f t="shared" si="36"/>
        <v>0</v>
      </c>
    </row>
    <row r="112" spans="1:16" ht="12.5">
      <c r="B112" s="160" t="str">
        <f t="shared" si="37"/>
        <v/>
      </c>
      <c r="C112" s="470">
        <f>IF(D93="","-",+C111+1)</f>
        <v>2020</v>
      </c>
      <c r="D112" s="471">
        <v>63856</v>
      </c>
      <c r="E112" s="478">
        <v>1963</v>
      </c>
      <c r="F112" s="477">
        <v>61893</v>
      </c>
      <c r="G112" s="477">
        <v>62874.5</v>
      </c>
      <c r="H112" s="478">
        <v>9212.2569908153564</v>
      </c>
      <c r="I112" s="479">
        <v>9212.2569908153564</v>
      </c>
      <c r="J112" s="476">
        <f t="shared" si="33"/>
        <v>0</v>
      </c>
      <c r="K112" s="476"/>
      <c r="L112" s="538">
        <f t="shared" si="43"/>
        <v>9212.2569908153564</v>
      </c>
      <c r="M112" s="539">
        <f t="shared" ref="M112" si="49">IF(L112&lt;&gt;0,+H112-L112,0)</f>
        <v>0</v>
      </c>
      <c r="N112" s="538">
        <f t="shared" si="44"/>
        <v>9212.2569908153564</v>
      </c>
      <c r="O112" s="476">
        <f t="shared" si="35"/>
        <v>0</v>
      </c>
      <c r="P112" s="476">
        <f t="shared" si="36"/>
        <v>0</v>
      </c>
    </row>
    <row r="113" spans="2:16" ht="12.5">
      <c r="B113" s="160" t="str">
        <f t="shared" si="37"/>
        <v/>
      </c>
      <c r="C113" s="470">
        <f>IF(D93="","-",+C112+1)</f>
        <v>2021</v>
      </c>
      <c r="D113" s="471">
        <v>61893</v>
      </c>
      <c r="E113" s="478">
        <v>2059</v>
      </c>
      <c r="F113" s="477">
        <v>59834</v>
      </c>
      <c r="G113" s="477">
        <v>60863.5</v>
      </c>
      <c r="H113" s="478">
        <v>8984.8276586704978</v>
      </c>
      <c r="I113" s="479">
        <v>8984.8276586704978</v>
      </c>
      <c r="J113" s="476">
        <f t="shared" si="33"/>
        <v>0</v>
      </c>
      <c r="K113" s="476"/>
      <c r="L113" s="538">
        <f t="shared" ref="L113" si="50">H113</f>
        <v>8984.8276586704978</v>
      </c>
      <c r="M113" s="539">
        <f t="shared" ref="M113" si="51">IF(L113&lt;&gt;0,+H113-L113,0)</f>
        <v>0</v>
      </c>
      <c r="N113" s="538">
        <f t="shared" ref="N113" si="52">I113</f>
        <v>8984.8276586704978</v>
      </c>
      <c r="O113" s="476">
        <f t="shared" si="35"/>
        <v>0</v>
      </c>
      <c r="P113" s="476">
        <f t="shared" si="36"/>
        <v>0</v>
      </c>
    </row>
    <row r="114" spans="2:16" ht="12.5">
      <c r="B114" s="160" t="str">
        <f t="shared" si="37"/>
        <v/>
      </c>
      <c r="C114" s="470">
        <f>IF(D93="","-",+C113+1)</f>
        <v>2022</v>
      </c>
      <c r="D114" s="471">
        <v>59834</v>
      </c>
      <c r="E114" s="478">
        <v>2165</v>
      </c>
      <c r="F114" s="477">
        <v>57669</v>
      </c>
      <c r="G114" s="477">
        <v>58751.5</v>
      </c>
      <c r="H114" s="478">
        <v>8638.3961304237382</v>
      </c>
      <c r="I114" s="479">
        <v>8638.3961304237382</v>
      </c>
      <c r="J114" s="476">
        <f t="shared" si="33"/>
        <v>0</v>
      </c>
      <c r="K114" s="476"/>
      <c r="L114" s="538">
        <f t="shared" ref="L114" si="53">H114</f>
        <v>8638.3961304237382</v>
      </c>
      <c r="M114" s="539">
        <f t="shared" ref="M114" si="54">IF(L114&lt;&gt;0,+H114-L114,0)</f>
        <v>0</v>
      </c>
      <c r="N114" s="538">
        <f t="shared" ref="N114" si="55">I114</f>
        <v>8638.3961304237382</v>
      </c>
      <c r="O114" s="476">
        <f t="shared" ref="O114" si="56">IF(N114&lt;&gt;0,+I114-N114,0)</f>
        <v>0</v>
      </c>
      <c r="P114" s="476">
        <f t="shared" ref="P114" si="57">+O114-M114</f>
        <v>0</v>
      </c>
    </row>
    <row r="115" spans="2:16" ht="12.5">
      <c r="B115" s="160" t="str">
        <f t="shared" si="37"/>
        <v/>
      </c>
      <c r="C115" s="470">
        <f>IF(D93="","-",+C114+1)</f>
        <v>2023</v>
      </c>
      <c r="D115" s="345">
        <f>IF(F114+SUM(E$99:E114)=D$92,F114,D$92-SUM(E$99:E114))</f>
        <v>57669</v>
      </c>
      <c r="E115" s="484">
        <f>IF(+J96&lt;F114,J96,D115)</f>
        <v>2222</v>
      </c>
      <c r="F115" s="483">
        <f t="shared" ref="F115:F129" si="58">+D115-E115</f>
        <v>55447</v>
      </c>
      <c r="G115" s="483">
        <f t="shared" ref="G115:G129" si="59">+(F115+D115)/2</f>
        <v>56558</v>
      </c>
      <c r="H115" s="484">
        <f t="shared" ref="H115:H153" si="60">(D115+F115)/2*J$94+E115</f>
        <v>8682.4536667105749</v>
      </c>
      <c r="I115" s="540">
        <f t="shared" ref="I115:I153" si="61">+J$95*G115+E115</f>
        <v>8682.4536667105749</v>
      </c>
      <c r="J115" s="476">
        <f t="shared" si="33"/>
        <v>0</v>
      </c>
      <c r="K115" s="476"/>
      <c r="L115" s="485"/>
      <c r="M115" s="476">
        <f t="shared" si="34"/>
        <v>0</v>
      </c>
      <c r="N115" s="485"/>
      <c r="O115" s="476">
        <f t="shared" si="35"/>
        <v>0</v>
      </c>
      <c r="P115" s="476">
        <f t="shared" si="36"/>
        <v>0</v>
      </c>
    </row>
    <row r="116" spans="2:16" ht="12.5">
      <c r="B116" s="160" t="str">
        <f t="shared" si="37"/>
        <v/>
      </c>
      <c r="C116" s="470">
        <f>IF(D93="","-",+C115+1)</f>
        <v>2024</v>
      </c>
      <c r="D116" s="345">
        <f>IF(F115+SUM(E$99:E115)=D$92,F115,D$92-SUM(E$99:E115))</f>
        <v>55447</v>
      </c>
      <c r="E116" s="484">
        <f>IF(+J96&lt;F115,J96,D116)</f>
        <v>2222</v>
      </c>
      <c r="F116" s="483">
        <f t="shared" si="58"/>
        <v>53225</v>
      </c>
      <c r="G116" s="483">
        <f t="shared" si="59"/>
        <v>54336</v>
      </c>
      <c r="H116" s="484">
        <f t="shared" si="60"/>
        <v>8428.6411548213473</v>
      </c>
      <c r="I116" s="540">
        <f t="shared" si="61"/>
        <v>8428.6411548213473</v>
      </c>
      <c r="J116" s="476">
        <f t="shared" si="33"/>
        <v>0</v>
      </c>
      <c r="K116" s="476"/>
      <c r="L116" s="485"/>
      <c r="M116" s="476">
        <f t="shared" si="34"/>
        <v>0</v>
      </c>
      <c r="N116" s="485"/>
      <c r="O116" s="476">
        <f t="shared" si="35"/>
        <v>0</v>
      </c>
      <c r="P116" s="476">
        <f t="shared" si="36"/>
        <v>0</v>
      </c>
    </row>
    <row r="117" spans="2:16" ht="12.5">
      <c r="B117" s="160" t="str">
        <f t="shared" si="37"/>
        <v/>
      </c>
      <c r="C117" s="470">
        <f>IF(D93="","-",+C116+1)</f>
        <v>2025</v>
      </c>
      <c r="D117" s="345">
        <f>IF(F116+SUM(E$99:E116)=D$92,F116,D$92-SUM(E$99:E116))</f>
        <v>53225</v>
      </c>
      <c r="E117" s="484">
        <f>IF(+J96&lt;F116,J96,D117)</f>
        <v>2222</v>
      </c>
      <c r="F117" s="483">
        <f t="shared" si="58"/>
        <v>51003</v>
      </c>
      <c r="G117" s="483">
        <f t="shared" si="59"/>
        <v>52114</v>
      </c>
      <c r="H117" s="484">
        <f t="shared" si="60"/>
        <v>8174.8286429321215</v>
      </c>
      <c r="I117" s="540">
        <f t="shared" si="61"/>
        <v>8174.8286429321215</v>
      </c>
      <c r="J117" s="476">
        <f t="shared" si="33"/>
        <v>0</v>
      </c>
      <c r="K117" s="476"/>
      <c r="L117" s="485"/>
      <c r="M117" s="476">
        <f t="shared" si="34"/>
        <v>0</v>
      </c>
      <c r="N117" s="485"/>
      <c r="O117" s="476">
        <f t="shared" si="35"/>
        <v>0</v>
      </c>
      <c r="P117" s="476">
        <f t="shared" si="36"/>
        <v>0</v>
      </c>
    </row>
    <row r="118" spans="2:16" ht="12.5">
      <c r="B118" s="160" t="str">
        <f t="shared" si="37"/>
        <v/>
      </c>
      <c r="C118" s="470">
        <f>IF(D93="","-",+C117+1)</f>
        <v>2026</v>
      </c>
      <c r="D118" s="345">
        <f>IF(F117+SUM(E$99:E117)=D$92,F117,D$92-SUM(E$99:E117))</f>
        <v>51003</v>
      </c>
      <c r="E118" s="484">
        <f>IF(+J96&lt;F117,J96,D118)</f>
        <v>2222</v>
      </c>
      <c r="F118" s="483">
        <f t="shared" si="58"/>
        <v>48781</v>
      </c>
      <c r="G118" s="483">
        <f t="shared" si="59"/>
        <v>49892</v>
      </c>
      <c r="H118" s="484">
        <f t="shared" si="60"/>
        <v>7921.0161310428939</v>
      </c>
      <c r="I118" s="540">
        <f t="shared" si="61"/>
        <v>7921.0161310428939</v>
      </c>
      <c r="J118" s="476">
        <f t="shared" si="33"/>
        <v>0</v>
      </c>
      <c r="K118" s="476"/>
      <c r="L118" s="485"/>
      <c r="M118" s="476">
        <f t="shared" si="34"/>
        <v>0</v>
      </c>
      <c r="N118" s="485"/>
      <c r="O118" s="476">
        <f t="shared" si="35"/>
        <v>0</v>
      </c>
      <c r="P118" s="476">
        <f t="shared" si="36"/>
        <v>0</v>
      </c>
    </row>
    <row r="119" spans="2:16" ht="12.5">
      <c r="B119" s="160" t="str">
        <f t="shared" si="37"/>
        <v/>
      </c>
      <c r="C119" s="470">
        <f>IF(D93="","-",+C118+1)</f>
        <v>2027</v>
      </c>
      <c r="D119" s="345">
        <f>IF(F118+SUM(E$99:E118)=D$92,F118,D$92-SUM(E$99:E118))</f>
        <v>48781</v>
      </c>
      <c r="E119" s="484">
        <f>IF(+J96&lt;F118,J96,D119)</f>
        <v>2222</v>
      </c>
      <c r="F119" s="483">
        <f t="shared" si="58"/>
        <v>46559</v>
      </c>
      <c r="G119" s="483">
        <f t="shared" si="59"/>
        <v>47670</v>
      </c>
      <c r="H119" s="484">
        <f t="shared" si="60"/>
        <v>7667.2036191536672</v>
      </c>
      <c r="I119" s="540">
        <f t="shared" si="61"/>
        <v>7667.2036191536672</v>
      </c>
      <c r="J119" s="476">
        <f t="shared" si="33"/>
        <v>0</v>
      </c>
      <c r="K119" s="476"/>
      <c r="L119" s="485"/>
      <c r="M119" s="476">
        <f t="shared" si="34"/>
        <v>0</v>
      </c>
      <c r="N119" s="485"/>
      <c r="O119" s="476">
        <f t="shared" si="35"/>
        <v>0</v>
      </c>
      <c r="P119" s="476">
        <f t="shared" si="36"/>
        <v>0</v>
      </c>
    </row>
    <row r="120" spans="2:16" ht="12.5">
      <c r="B120" s="160" t="str">
        <f t="shared" si="37"/>
        <v/>
      </c>
      <c r="C120" s="470">
        <f>IF(D93="","-",+C119+1)</f>
        <v>2028</v>
      </c>
      <c r="D120" s="345">
        <f>IF(F119+SUM(E$99:E119)=D$92,F119,D$92-SUM(E$99:E119))</f>
        <v>46559</v>
      </c>
      <c r="E120" s="484">
        <f>IF(+J96&lt;F119,J96,D120)</f>
        <v>2222</v>
      </c>
      <c r="F120" s="483">
        <f t="shared" si="58"/>
        <v>44337</v>
      </c>
      <c r="G120" s="483">
        <f t="shared" si="59"/>
        <v>45448</v>
      </c>
      <c r="H120" s="484">
        <f t="shared" si="60"/>
        <v>7413.3911072644405</v>
      </c>
      <c r="I120" s="540">
        <f t="shared" si="61"/>
        <v>7413.3911072644405</v>
      </c>
      <c r="J120" s="476">
        <f t="shared" si="33"/>
        <v>0</v>
      </c>
      <c r="K120" s="476"/>
      <c r="L120" s="485"/>
      <c r="M120" s="476">
        <f t="shared" si="34"/>
        <v>0</v>
      </c>
      <c r="N120" s="485"/>
      <c r="O120" s="476">
        <f t="shared" si="35"/>
        <v>0</v>
      </c>
      <c r="P120" s="476">
        <f t="shared" si="36"/>
        <v>0</v>
      </c>
    </row>
    <row r="121" spans="2:16" ht="12.5">
      <c r="B121" s="160" t="str">
        <f t="shared" si="37"/>
        <v/>
      </c>
      <c r="C121" s="470">
        <f>IF(D93="","-",+C120+1)</f>
        <v>2029</v>
      </c>
      <c r="D121" s="345">
        <f>IF(F120+SUM(E$99:E120)=D$92,F120,D$92-SUM(E$99:E120))</f>
        <v>44337</v>
      </c>
      <c r="E121" s="484">
        <f>IF(+J96&lt;F120,J96,D121)</f>
        <v>2222</v>
      </c>
      <c r="F121" s="483">
        <f t="shared" si="58"/>
        <v>42115</v>
      </c>
      <c r="G121" s="483">
        <f t="shared" si="59"/>
        <v>43226</v>
      </c>
      <c r="H121" s="484">
        <f t="shared" si="60"/>
        <v>7159.5785953752138</v>
      </c>
      <c r="I121" s="540">
        <f t="shared" si="61"/>
        <v>7159.5785953752138</v>
      </c>
      <c r="J121" s="476">
        <f t="shared" si="33"/>
        <v>0</v>
      </c>
      <c r="K121" s="476"/>
      <c r="L121" s="485"/>
      <c r="M121" s="476">
        <f t="shared" si="34"/>
        <v>0</v>
      </c>
      <c r="N121" s="485"/>
      <c r="O121" s="476">
        <f t="shared" si="35"/>
        <v>0</v>
      </c>
      <c r="P121" s="476">
        <f t="shared" si="36"/>
        <v>0</v>
      </c>
    </row>
    <row r="122" spans="2:16" ht="12.5">
      <c r="B122" s="160" t="str">
        <f t="shared" si="37"/>
        <v/>
      </c>
      <c r="C122" s="470">
        <f>IF(D93="","-",+C121+1)</f>
        <v>2030</v>
      </c>
      <c r="D122" s="345">
        <f>IF(F121+SUM(E$99:E121)=D$92,F121,D$92-SUM(E$99:E121))</f>
        <v>42115</v>
      </c>
      <c r="E122" s="484">
        <f>IF(+J96&lt;F121,J96,D122)</f>
        <v>2222</v>
      </c>
      <c r="F122" s="483">
        <f t="shared" si="58"/>
        <v>39893</v>
      </c>
      <c r="G122" s="483">
        <f t="shared" si="59"/>
        <v>41004</v>
      </c>
      <c r="H122" s="484">
        <f t="shared" si="60"/>
        <v>6905.7660834859862</v>
      </c>
      <c r="I122" s="540">
        <f t="shared" si="61"/>
        <v>6905.7660834859862</v>
      </c>
      <c r="J122" s="476">
        <f t="shared" si="33"/>
        <v>0</v>
      </c>
      <c r="K122" s="476"/>
      <c r="L122" s="485"/>
      <c r="M122" s="476">
        <f t="shared" si="34"/>
        <v>0</v>
      </c>
      <c r="N122" s="485"/>
      <c r="O122" s="476">
        <f t="shared" si="35"/>
        <v>0</v>
      </c>
      <c r="P122" s="476">
        <f t="shared" si="36"/>
        <v>0</v>
      </c>
    </row>
    <row r="123" spans="2:16" ht="12.5">
      <c r="B123" s="160" t="str">
        <f t="shared" si="37"/>
        <v/>
      </c>
      <c r="C123" s="470">
        <f>IF(D93="","-",+C122+1)</f>
        <v>2031</v>
      </c>
      <c r="D123" s="345">
        <f>IF(F122+SUM(E$99:E122)=D$92,F122,D$92-SUM(E$99:E122))</f>
        <v>39893</v>
      </c>
      <c r="E123" s="484">
        <f>IF(+J96&lt;F122,J96,D123)</f>
        <v>2222</v>
      </c>
      <c r="F123" s="483">
        <f t="shared" si="58"/>
        <v>37671</v>
      </c>
      <c r="G123" s="483">
        <f t="shared" si="59"/>
        <v>38782</v>
      </c>
      <c r="H123" s="484">
        <f t="shared" si="60"/>
        <v>6651.9535715967595</v>
      </c>
      <c r="I123" s="540">
        <f t="shared" si="61"/>
        <v>6651.9535715967595</v>
      </c>
      <c r="J123" s="476">
        <f t="shared" si="33"/>
        <v>0</v>
      </c>
      <c r="K123" s="476"/>
      <c r="L123" s="485"/>
      <c r="M123" s="476">
        <f t="shared" si="34"/>
        <v>0</v>
      </c>
      <c r="N123" s="485"/>
      <c r="O123" s="476">
        <f t="shared" si="35"/>
        <v>0</v>
      </c>
      <c r="P123" s="476">
        <f t="shared" si="36"/>
        <v>0</v>
      </c>
    </row>
    <row r="124" spans="2:16" ht="12.5">
      <c r="B124" s="160" t="str">
        <f t="shared" si="37"/>
        <v/>
      </c>
      <c r="C124" s="470">
        <f>IF(D93="","-",+C123+1)</f>
        <v>2032</v>
      </c>
      <c r="D124" s="345">
        <f>IF(F123+SUM(E$99:E123)=D$92,F123,D$92-SUM(E$99:E123))</f>
        <v>37671</v>
      </c>
      <c r="E124" s="484">
        <f>IF(+J96&lt;F123,J96,D124)</f>
        <v>2222</v>
      </c>
      <c r="F124" s="483">
        <f t="shared" si="58"/>
        <v>35449</v>
      </c>
      <c r="G124" s="483">
        <f t="shared" si="59"/>
        <v>36560</v>
      </c>
      <c r="H124" s="484">
        <f t="shared" si="60"/>
        <v>6398.1410597075328</v>
      </c>
      <c r="I124" s="540">
        <f t="shared" si="61"/>
        <v>6398.1410597075328</v>
      </c>
      <c r="J124" s="476">
        <f t="shared" si="33"/>
        <v>0</v>
      </c>
      <c r="K124" s="476"/>
      <c r="L124" s="485"/>
      <c r="M124" s="476">
        <f t="shared" si="34"/>
        <v>0</v>
      </c>
      <c r="N124" s="485"/>
      <c r="O124" s="476">
        <f t="shared" si="35"/>
        <v>0</v>
      </c>
      <c r="P124" s="476">
        <f t="shared" si="36"/>
        <v>0</v>
      </c>
    </row>
    <row r="125" spans="2:16" ht="12.5">
      <c r="B125" s="160" t="str">
        <f t="shared" si="37"/>
        <v/>
      </c>
      <c r="C125" s="470">
        <f>IF(D93="","-",+C124+1)</f>
        <v>2033</v>
      </c>
      <c r="D125" s="345">
        <f>IF(F124+SUM(E$99:E124)=D$92,F124,D$92-SUM(E$99:E124))</f>
        <v>35449</v>
      </c>
      <c r="E125" s="484">
        <f>IF(+J96&lt;F124,J96,D125)</f>
        <v>2222</v>
      </c>
      <c r="F125" s="483">
        <f t="shared" si="58"/>
        <v>33227</v>
      </c>
      <c r="G125" s="483">
        <f t="shared" si="59"/>
        <v>34338</v>
      </c>
      <c r="H125" s="484">
        <f t="shared" si="60"/>
        <v>6144.3285478183061</v>
      </c>
      <c r="I125" s="540">
        <f t="shared" si="61"/>
        <v>6144.3285478183061</v>
      </c>
      <c r="J125" s="476">
        <f t="shared" si="33"/>
        <v>0</v>
      </c>
      <c r="K125" s="476"/>
      <c r="L125" s="485"/>
      <c r="M125" s="476">
        <f t="shared" si="34"/>
        <v>0</v>
      </c>
      <c r="N125" s="485"/>
      <c r="O125" s="476">
        <f t="shared" si="35"/>
        <v>0</v>
      </c>
      <c r="P125" s="476">
        <f t="shared" si="36"/>
        <v>0</v>
      </c>
    </row>
    <row r="126" spans="2:16" ht="12.5">
      <c r="B126" s="160" t="str">
        <f t="shared" si="37"/>
        <v/>
      </c>
      <c r="C126" s="470">
        <f>IF(D93="","-",+C125+1)</f>
        <v>2034</v>
      </c>
      <c r="D126" s="345">
        <f>IF(F125+SUM(E$99:E125)=D$92,F125,D$92-SUM(E$99:E125))</f>
        <v>33227</v>
      </c>
      <c r="E126" s="484">
        <f>IF(+J96&lt;F125,J96,D126)</f>
        <v>2222</v>
      </c>
      <c r="F126" s="483">
        <f t="shared" si="58"/>
        <v>31005</v>
      </c>
      <c r="G126" s="483">
        <f t="shared" si="59"/>
        <v>32116</v>
      </c>
      <c r="H126" s="484">
        <f t="shared" si="60"/>
        <v>5890.5160359290785</v>
      </c>
      <c r="I126" s="540">
        <f t="shared" si="61"/>
        <v>5890.5160359290785</v>
      </c>
      <c r="J126" s="476">
        <f t="shared" si="33"/>
        <v>0</v>
      </c>
      <c r="K126" s="476"/>
      <c r="L126" s="485"/>
      <c r="M126" s="476">
        <f t="shared" si="34"/>
        <v>0</v>
      </c>
      <c r="N126" s="485"/>
      <c r="O126" s="476">
        <f t="shared" si="35"/>
        <v>0</v>
      </c>
      <c r="P126" s="476">
        <f t="shared" si="36"/>
        <v>0</v>
      </c>
    </row>
    <row r="127" spans="2:16" ht="12.5">
      <c r="B127" s="160" t="str">
        <f t="shared" si="37"/>
        <v/>
      </c>
      <c r="C127" s="470">
        <f>IF(D93="","-",+C126+1)</f>
        <v>2035</v>
      </c>
      <c r="D127" s="345">
        <f>IF(F126+SUM(E$99:E126)=D$92,F126,D$92-SUM(E$99:E126))</f>
        <v>31005</v>
      </c>
      <c r="E127" s="484">
        <f>IF(+J96&lt;F126,J96,D127)</f>
        <v>2222</v>
      </c>
      <c r="F127" s="483">
        <f t="shared" si="58"/>
        <v>28783</v>
      </c>
      <c r="G127" s="483">
        <f t="shared" si="59"/>
        <v>29894</v>
      </c>
      <c r="H127" s="484">
        <f t="shared" si="60"/>
        <v>5636.7035240398518</v>
      </c>
      <c r="I127" s="540">
        <f t="shared" si="61"/>
        <v>5636.7035240398518</v>
      </c>
      <c r="J127" s="476">
        <f t="shared" si="33"/>
        <v>0</v>
      </c>
      <c r="K127" s="476"/>
      <c r="L127" s="485"/>
      <c r="M127" s="476">
        <f t="shared" si="34"/>
        <v>0</v>
      </c>
      <c r="N127" s="485"/>
      <c r="O127" s="476">
        <f t="shared" si="35"/>
        <v>0</v>
      </c>
      <c r="P127" s="476">
        <f t="shared" si="36"/>
        <v>0</v>
      </c>
    </row>
    <row r="128" spans="2:16" ht="12.5">
      <c r="B128" s="160" t="str">
        <f t="shared" si="37"/>
        <v/>
      </c>
      <c r="C128" s="470">
        <f>IF(D93="","-",+C127+1)</f>
        <v>2036</v>
      </c>
      <c r="D128" s="345">
        <f>IF(F127+SUM(E$99:E127)=D$92,F127,D$92-SUM(E$99:E127))</f>
        <v>28783</v>
      </c>
      <c r="E128" s="484">
        <f>IF(+J96&lt;F127,J96,D128)</f>
        <v>2222</v>
      </c>
      <c r="F128" s="483">
        <f t="shared" si="58"/>
        <v>26561</v>
      </c>
      <c r="G128" s="483">
        <f t="shared" si="59"/>
        <v>27672</v>
      </c>
      <c r="H128" s="484">
        <f t="shared" si="60"/>
        <v>5382.8910121506251</v>
      </c>
      <c r="I128" s="540">
        <f t="shared" si="61"/>
        <v>5382.8910121506251</v>
      </c>
      <c r="J128" s="476">
        <f t="shared" si="33"/>
        <v>0</v>
      </c>
      <c r="K128" s="476"/>
      <c r="L128" s="485"/>
      <c r="M128" s="476">
        <f t="shared" si="34"/>
        <v>0</v>
      </c>
      <c r="N128" s="485"/>
      <c r="O128" s="476">
        <f t="shared" si="35"/>
        <v>0</v>
      </c>
      <c r="P128" s="476">
        <f t="shared" si="36"/>
        <v>0</v>
      </c>
    </row>
    <row r="129" spans="2:16" ht="12.5">
      <c r="B129" s="160" t="str">
        <f t="shared" si="37"/>
        <v/>
      </c>
      <c r="C129" s="470">
        <f>IF(D93="","-",+C128+1)</f>
        <v>2037</v>
      </c>
      <c r="D129" s="345">
        <f>IF(F128+SUM(E$99:E128)=D$92,F128,D$92-SUM(E$99:E128))</f>
        <v>26561</v>
      </c>
      <c r="E129" s="484">
        <f>IF(+J96&lt;F128,J96,D129)</f>
        <v>2222</v>
      </c>
      <c r="F129" s="483">
        <f t="shared" si="58"/>
        <v>24339</v>
      </c>
      <c r="G129" s="483">
        <f t="shared" si="59"/>
        <v>25450</v>
      </c>
      <c r="H129" s="484">
        <f t="shared" si="60"/>
        <v>5129.0785002613975</v>
      </c>
      <c r="I129" s="540">
        <f t="shared" si="61"/>
        <v>5129.0785002613975</v>
      </c>
      <c r="J129" s="476">
        <f t="shared" si="33"/>
        <v>0</v>
      </c>
      <c r="K129" s="476"/>
      <c r="L129" s="485"/>
      <c r="M129" s="476">
        <f t="shared" si="34"/>
        <v>0</v>
      </c>
      <c r="N129" s="485"/>
      <c r="O129" s="476">
        <f t="shared" si="35"/>
        <v>0</v>
      </c>
      <c r="P129" s="476">
        <f t="shared" si="36"/>
        <v>0</v>
      </c>
    </row>
    <row r="130" spans="2:16" ht="12.5">
      <c r="B130" s="160" t="str">
        <f t="shared" si="37"/>
        <v/>
      </c>
      <c r="C130" s="470">
        <f>IF(D93="","-",+C129+1)</f>
        <v>2038</v>
      </c>
      <c r="D130" s="345">
        <f>IF(F129+SUM(E$99:E129)=D$92,F129,D$92-SUM(E$99:E129))</f>
        <v>24339</v>
      </c>
      <c r="E130" s="484">
        <f>IF(+J96&lt;F129,J96,D130)</f>
        <v>2222</v>
      </c>
      <c r="F130" s="483">
        <f t="shared" ref="F130:F153" si="62">+D130-E130</f>
        <v>22117</v>
      </c>
      <c r="G130" s="483">
        <f t="shared" ref="G130:G153" si="63">+(F130+D130)/2</f>
        <v>23228</v>
      </c>
      <c r="H130" s="484">
        <f t="shared" si="60"/>
        <v>4875.2659883721708</v>
      </c>
      <c r="I130" s="540">
        <f t="shared" si="61"/>
        <v>4875.2659883721708</v>
      </c>
      <c r="J130" s="476">
        <f t="shared" si="33"/>
        <v>0</v>
      </c>
      <c r="K130" s="476"/>
      <c r="L130" s="485"/>
      <c r="M130" s="476">
        <f t="shared" si="34"/>
        <v>0</v>
      </c>
      <c r="N130" s="485"/>
      <c r="O130" s="476">
        <f t="shared" si="35"/>
        <v>0</v>
      </c>
      <c r="P130" s="476">
        <f t="shared" si="36"/>
        <v>0</v>
      </c>
    </row>
    <row r="131" spans="2:16" ht="12.5">
      <c r="B131" s="160" t="str">
        <f t="shared" si="37"/>
        <v/>
      </c>
      <c r="C131" s="470">
        <f>IF(D93="","-",+C130+1)</f>
        <v>2039</v>
      </c>
      <c r="D131" s="345">
        <f>IF(F130+SUM(E$99:E130)=D$92,F130,D$92-SUM(E$99:E130))</f>
        <v>22117</v>
      </c>
      <c r="E131" s="484">
        <f>IF(+J96&lt;F130,J96,D131)</f>
        <v>2222</v>
      </c>
      <c r="F131" s="483">
        <f t="shared" si="62"/>
        <v>19895</v>
      </c>
      <c r="G131" s="483">
        <f t="shared" si="63"/>
        <v>21006</v>
      </c>
      <c r="H131" s="484">
        <f t="shared" si="60"/>
        <v>4621.4534764829441</v>
      </c>
      <c r="I131" s="540">
        <f t="shared" si="61"/>
        <v>4621.4534764829441</v>
      </c>
      <c r="J131" s="476">
        <f t="shared" ref="J131:J154" si="64">+I382-H382</f>
        <v>0</v>
      </c>
      <c r="K131" s="476"/>
      <c r="L131" s="485"/>
      <c r="M131" s="476">
        <f t="shared" ref="M131:M154" si="65">IF(L382&lt;&gt;0,+H382-L382,0)</f>
        <v>0</v>
      </c>
      <c r="N131" s="485"/>
      <c r="O131" s="476">
        <f t="shared" ref="O131:O154" si="66">IF(N382&lt;&gt;0,+I382-N382,0)</f>
        <v>0</v>
      </c>
      <c r="P131" s="476">
        <f t="shared" ref="P131:P154" si="67">+O382-M382</f>
        <v>0</v>
      </c>
    </row>
    <row r="132" spans="2:16" ht="12.5">
      <c r="B132" s="160" t="str">
        <f t="shared" si="37"/>
        <v/>
      </c>
      <c r="C132" s="470">
        <f>IF(D93="","-",+C131+1)</f>
        <v>2040</v>
      </c>
      <c r="D132" s="345">
        <f>IF(F131+SUM(E$99:E131)=D$92,F131,D$92-SUM(E$99:E131))</f>
        <v>19895</v>
      </c>
      <c r="E132" s="484">
        <f>IF(+J96&lt;F131,J96,D132)</f>
        <v>2222</v>
      </c>
      <c r="F132" s="483">
        <f t="shared" si="62"/>
        <v>17673</v>
      </c>
      <c r="G132" s="483">
        <f t="shared" si="63"/>
        <v>18784</v>
      </c>
      <c r="H132" s="484">
        <f t="shared" si="60"/>
        <v>4367.6409645937165</v>
      </c>
      <c r="I132" s="540">
        <f t="shared" si="61"/>
        <v>4367.6409645937165</v>
      </c>
      <c r="J132" s="476">
        <f t="shared" si="64"/>
        <v>0</v>
      </c>
      <c r="K132" s="476"/>
      <c r="L132" s="485"/>
      <c r="M132" s="476">
        <f t="shared" si="65"/>
        <v>0</v>
      </c>
      <c r="N132" s="485"/>
      <c r="O132" s="476">
        <f t="shared" si="66"/>
        <v>0</v>
      </c>
      <c r="P132" s="476">
        <f t="shared" si="67"/>
        <v>0</v>
      </c>
    </row>
    <row r="133" spans="2:16" ht="12.5">
      <c r="B133" s="160" t="str">
        <f t="shared" si="37"/>
        <v/>
      </c>
      <c r="C133" s="470">
        <f>IF(D93="","-",+C132+1)</f>
        <v>2041</v>
      </c>
      <c r="D133" s="345">
        <f>IF(F132+SUM(E$99:E132)=D$92,F132,D$92-SUM(E$99:E132))</f>
        <v>17673</v>
      </c>
      <c r="E133" s="484">
        <f>IF(+J96&lt;F132,J96,D133)</f>
        <v>2222</v>
      </c>
      <c r="F133" s="483">
        <f t="shared" si="62"/>
        <v>15451</v>
      </c>
      <c r="G133" s="483">
        <f t="shared" si="63"/>
        <v>16562</v>
      </c>
      <c r="H133" s="484">
        <f t="shared" si="60"/>
        <v>4113.8284527044898</v>
      </c>
      <c r="I133" s="540">
        <f t="shared" si="61"/>
        <v>4113.8284527044898</v>
      </c>
      <c r="J133" s="476">
        <f t="shared" si="64"/>
        <v>0</v>
      </c>
      <c r="K133" s="476"/>
      <c r="L133" s="485"/>
      <c r="M133" s="476">
        <f t="shared" si="65"/>
        <v>0</v>
      </c>
      <c r="N133" s="485"/>
      <c r="O133" s="476">
        <f t="shared" si="66"/>
        <v>0</v>
      </c>
      <c r="P133" s="476">
        <f t="shared" si="67"/>
        <v>0</v>
      </c>
    </row>
    <row r="134" spans="2:16" ht="12.5">
      <c r="B134" s="160" t="str">
        <f t="shared" si="37"/>
        <v/>
      </c>
      <c r="C134" s="470">
        <f>IF(D93="","-",+C133+1)</f>
        <v>2042</v>
      </c>
      <c r="D134" s="345">
        <f>IF(F133+SUM(E$99:E133)=D$92,F133,D$92-SUM(E$99:E133))</f>
        <v>15451</v>
      </c>
      <c r="E134" s="484">
        <f>IF(+J96&lt;F133,J96,D134)</f>
        <v>2222</v>
      </c>
      <c r="F134" s="483">
        <f t="shared" si="62"/>
        <v>13229</v>
      </c>
      <c r="G134" s="483">
        <f t="shared" si="63"/>
        <v>14340</v>
      </c>
      <c r="H134" s="484">
        <f t="shared" si="60"/>
        <v>3860.0159408152631</v>
      </c>
      <c r="I134" s="540">
        <f t="shared" si="61"/>
        <v>3860.0159408152631</v>
      </c>
      <c r="J134" s="476">
        <f t="shared" si="64"/>
        <v>0</v>
      </c>
      <c r="K134" s="476"/>
      <c r="L134" s="485"/>
      <c r="M134" s="476">
        <f t="shared" si="65"/>
        <v>0</v>
      </c>
      <c r="N134" s="485"/>
      <c r="O134" s="476">
        <f t="shared" si="66"/>
        <v>0</v>
      </c>
      <c r="P134" s="476">
        <f t="shared" si="67"/>
        <v>0</v>
      </c>
    </row>
    <row r="135" spans="2:16" ht="12.5">
      <c r="B135" s="160" t="str">
        <f t="shared" si="37"/>
        <v/>
      </c>
      <c r="C135" s="470">
        <f>IF(D93="","-",+C134+1)</f>
        <v>2043</v>
      </c>
      <c r="D135" s="345">
        <f>IF(F134+SUM(E$99:E134)=D$92,F134,D$92-SUM(E$99:E134))</f>
        <v>13229</v>
      </c>
      <c r="E135" s="484">
        <f>IF(+J96&lt;F134,J96,D135)</f>
        <v>2222</v>
      </c>
      <c r="F135" s="483">
        <f t="shared" si="62"/>
        <v>11007</v>
      </c>
      <c r="G135" s="483">
        <f t="shared" si="63"/>
        <v>12118</v>
      </c>
      <c r="H135" s="484">
        <f t="shared" si="60"/>
        <v>3606.2034289260364</v>
      </c>
      <c r="I135" s="540">
        <f t="shared" si="61"/>
        <v>3606.2034289260364</v>
      </c>
      <c r="J135" s="476">
        <f t="shared" si="64"/>
        <v>0</v>
      </c>
      <c r="K135" s="476"/>
      <c r="L135" s="485"/>
      <c r="M135" s="476">
        <f t="shared" si="65"/>
        <v>0</v>
      </c>
      <c r="N135" s="485"/>
      <c r="O135" s="476">
        <f t="shared" si="66"/>
        <v>0</v>
      </c>
      <c r="P135" s="476">
        <f t="shared" si="67"/>
        <v>0</v>
      </c>
    </row>
    <row r="136" spans="2:16" ht="12.5">
      <c r="B136" s="160" t="str">
        <f t="shared" si="37"/>
        <v/>
      </c>
      <c r="C136" s="470">
        <f>IF(D93="","-",+C135+1)</f>
        <v>2044</v>
      </c>
      <c r="D136" s="345">
        <f>IF(F135+SUM(E$99:E135)=D$92,F135,D$92-SUM(E$99:E135))</f>
        <v>11007</v>
      </c>
      <c r="E136" s="484">
        <f>IF(+J96&lt;F135,J96,D136)</f>
        <v>2222</v>
      </c>
      <c r="F136" s="483">
        <f t="shared" si="62"/>
        <v>8785</v>
      </c>
      <c r="G136" s="483">
        <f t="shared" si="63"/>
        <v>9896</v>
      </c>
      <c r="H136" s="484">
        <f t="shared" si="60"/>
        <v>3352.3909170368092</v>
      </c>
      <c r="I136" s="540">
        <f t="shared" si="61"/>
        <v>3352.3909170368092</v>
      </c>
      <c r="J136" s="476">
        <f t="shared" si="64"/>
        <v>0</v>
      </c>
      <c r="K136" s="476"/>
      <c r="L136" s="485"/>
      <c r="M136" s="476">
        <f t="shared" si="65"/>
        <v>0</v>
      </c>
      <c r="N136" s="485"/>
      <c r="O136" s="476">
        <f t="shared" si="66"/>
        <v>0</v>
      </c>
      <c r="P136" s="476">
        <f t="shared" si="67"/>
        <v>0</v>
      </c>
    </row>
    <row r="137" spans="2:16" ht="12.5">
      <c r="B137" s="160" t="str">
        <f t="shared" si="37"/>
        <v/>
      </c>
      <c r="C137" s="470">
        <f>IF(D93="","-",+C136+1)</f>
        <v>2045</v>
      </c>
      <c r="D137" s="345">
        <f>IF(F136+SUM(E$99:E136)=D$92,F136,D$92-SUM(E$99:E136))</f>
        <v>8785</v>
      </c>
      <c r="E137" s="484">
        <f>IF(+J96&lt;F136,J96,D137)</f>
        <v>2222</v>
      </c>
      <c r="F137" s="483">
        <f t="shared" si="62"/>
        <v>6563</v>
      </c>
      <c r="G137" s="483">
        <f t="shared" si="63"/>
        <v>7674</v>
      </c>
      <c r="H137" s="484">
        <f t="shared" si="60"/>
        <v>3098.5784051475821</v>
      </c>
      <c r="I137" s="540">
        <f t="shared" si="61"/>
        <v>3098.5784051475821</v>
      </c>
      <c r="J137" s="476">
        <f t="shared" si="64"/>
        <v>0</v>
      </c>
      <c r="K137" s="476"/>
      <c r="L137" s="485"/>
      <c r="M137" s="476">
        <f t="shared" si="65"/>
        <v>0</v>
      </c>
      <c r="N137" s="485"/>
      <c r="O137" s="476">
        <f t="shared" si="66"/>
        <v>0</v>
      </c>
      <c r="P137" s="476">
        <f t="shared" si="67"/>
        <v>0</v>
      </c>
    </row>
    <row r="138" spans="2:16" ht="12.5">
      <c r="B138" s="160" t="str">
        <f t="shared" si="37"/>
        <v/>
      </c>
      <c r="C138" s="470">
        <f>IF(D93="","-",+C137+1)</f>
        <v>2046</v>
      </c>
      <c r="D138" s="345">
        <f>IF(F137+SUM(E$99:E137)=D$92,F137,D$92-SUM(E$99:E137))</f>
        <v>6563</v>
      </c>
      <c r="E138" s="484">
        <f>IF(+J96&lt;F137,J96,D138)</f>
        <v>2222</v>
      </c>
      <c r="F138" s="483">
        <f t="shared" si="62"/>
        <v>4341</v>
      </c>
      <c r="G138" s="483">
        <f t="shared" si="63"/>
        <v>5452</v>
      </c>
      <c r="H138" s="484">
        <f t="shared" si="60"/>
        <v>2844.7658932583554</v>
      </c>
      <c r="I138" s="540">
        <f t="shared" si="61"/>
        <v>2844.7658932583554</v>
      </c>
      <c r="J138" s="476">
        <f t="shared" si="64"/>
        <v>0</v>
      </c>
      <c r="K138" s="476"/>
      <c r="L138" s="485"/>
      <c r="M138" s="476">
        <f t="shared" si="65"/>
        <v>0</v>
      </c>
      <c r="N138" s="485"/>
      <c r="O138" s="476">
        <f t="shared" si="66"/>
        <v>0</v>
      </c>
      <c r="P138" s="476">
        <f t="shared" si="67"/>
        <v>0</v>
      </c>
    </row>
    <row r="139" spans="2:16" ht="12.5">
      <c r="B139" s="160" t="str">
        <f t="shared" si="37"/>
        <v/>
      </c>
      <c r="C139" s="470">
        <f>IF(D93="","-",+C138+1)</f>
        <v>2047</v>
      </c>
      <c r="D139" s="345">
        <f>IF(F138+SUM(E$99:E138)=D$92,F138,D$92-SUM(E$99:E138))</f>
        <v>4341</v>
      </c>
      <c r="E139" s="484">
        <f>IF(+J96&lt;F138,J96,D139)</f>
        <v>2222</v>
      </c>
      <c r="F139" s="483">
        <f t="shared" si="62"/>
        <v>2119</v>
      </c>
      <c r="G139" s="483">
        <f t="shared" si="63"/>
        <v>3230</v>
      </c>
      <c r="H139" s="484">
        <f t="shared" si="60"/>
        <v>2590.9533813691282</v>
      </c>
      <c r="I139" s="540">
        <f t="shared" si="61"/>
        <v>2590.9533813691282</v>
      </c>
      <c r="J139" s="476">
        <f t="shared" si="64"/>
        <v>0</v>
      </c>
      <c r="K139" s="476"/>
      <c r="L139" s="485"/>
      <c r="M139" s="476">
        <f t="shared" si="65"/>
        <v>0</v>
      </c>
      <c r="N139" s="485"/>
      <c r="O139" s="476">
        <f t="shared" si="66"/>
        <v>0</v>
      </c>
      <c r="P139" s="476">
        <f t="shared" si="67"/>
        <v>0</v>
      </c>
    </row>
    <row r="140" spans="2:16" ht="12.5">
      <c r="B140" s="160" t="str">
        <f t="shared" si="37"/>
        <v/>
      </c>
      <c r="C140" s="470">
        <f>IF(D93="","-",+C139+1)</f>
        <v>2048</v>
      </c>
      <c r="D140" s="345">
        <f>IF(F139+SUM(E$99:E139)=D$92,F139,D$92-SUM(E$99:E139))</f>
        <v>2119</v>
      </c>
      <c r="E140" s="484">
        <f>IF(+J96&lt;F139,J96,D140)</f>
        <v>2119</v>
      </c>
      <c r="F140" s="483">
        <f t="shared" si="62"/>
        <v>0</v>
      </c>
      <c r="G140" s="483">
        <f t="shared" si="63"/>
        <v>1059.5</v>
      </c>
      <c r="H140" s="484">
        <f t="shared" si="60"/>
        <v>2240.0235627122574</v>
      </c>
      <c r="I140" s="540">
        <f t="shared" si="61"/>
        <v>2240.0235627122574</v>
      </c>
      <c r="J140" s="476">
        <f t="shared" si="64"/>
        <v>0</v>
      </c>
      <c r="K140" s="476"/>
      <c r="L140" s="485"/>
      <c r="M140" s="476">
        <f t="shared" si="65"/>
        <v>0</v>
      </c>
      <c r="N140" s="485"/>
      <c r="O140" s="476">
        <f t="shared" si="66"/>
        <v>0</v>
      </c>
      <c r="P140" s="476">
        <f t="shared" si="67"/>
        <v>0</v>
      </c>
    </row>
    <row r="141" spans="2:16" ht="12.5">
      <c r="B141" s="160" t="str">
        <f t="shared" si="37"/>
        <v/>
      </c>
      <c r="C141" s="470">
        <f>IF(D93="","-",+C140+1)</f>
        <v>2049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62"/>
        <v>0</v>
      </c>
      <c r="G141" s="483">
        <f t="shared" si="63"/>
        <v>0</v>
      </c>
      <c r="H141" s="484">
        <f t="shared" si="60"/>
        <v>0</v>
      </c>
      <c r="I141" s="540">
        <f t="shared" si="61"/>
        <v>0</v>
      </c>
      <c r="J141" s="476">
        <f t="shared" si="64"/>
        <v>0</v>
      </c>
      <c r="K141" s="476"/>
      <c r="L141" s="485"/>
      <c r="M141" s="476">
        <f t="shared" si="65"/>
        <v>0</v>
      </c>
      <c r="N141" s="485"/>
      <c r="O141" s="476">
        <f t="shared" si="66"/>
        <v>0</v>
      </c>
      <c r="P141" s="476">
        <f t="shared" si="67"/>
        <v>0</v>
      </c>
    </row>
    <row r="142" spans="2:16" ht="12.5">
      <c r="B142" s="160" t="str">
        <f t="shared" si="37"/>
        <v/>
      </c>
      <c r="C142" s="470">
        <f>IF(D93="","-",+C141+1)</f>
        <v>2050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62"/>
        <v>0</v>
      </c>
      <c r="G142" s="483">
        <f t="shared" si="63"/>
        <v>0</v>
      </c>
      <c r="H142" s="484">
        <f t="shared" si="60"/>
        <v>0</v>
      </c>
      <c r="I142" s="540">
        <f t="shared" si="61"/>
        <v>0</v>
      </c>
      <c r="J142" s="476">
        <f t="shared" si="64"/>
        <v>0</v>
      </c>
      <c r="K142" s="476"/>
      <c r="L142" s="485"/>
      <c r="M142" s="476">
        <f t="shared" si="65"/>
        <v>0</v>
      </c>
      <c r="N142" s="485"/>
      <c r="O142" s="476">
        <f t="shared" si="66"/>
        <v>0</v>
      </c>
      <c r="P142" s="476">
        <f t="shared" si="67"/>
        <v>0</v>
      </c>
    </row>
    <row r="143" spans="2:16" ht="12.5">
      <c r="B143" s="160" t="str">
        <f t="shared" si="37"/>
        <v/>
      </c>
      <c r="C143" s="470">
        <f>IF(D93="","-",+C142+1)</f>
        <v>2051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62"/>
        <v>0</v>
      </c>
      <c r="G143" s="483">
        <f t="shared" si="63"/>
        <v>0</v>
      </c>
      <c r="H143" s="484">
        <f t="shared" si="60"/>
        <v>0</v>
      </c>
      <c r="I143" s="540">
        <f t="shared" si="61"/>
        <v>0</v>
      </c>
      <c r="J143" s="476">
        <f t="shared" si="64"/>
        <v>0</v>
      </c>
      <c r="K143" s="476"/>
      <c r="L143" s="485"/>
      <c r="M143" s="476">
        <f t="shared" si="65"/>
        <v>0</v>
      </c>
      <c r="N143" s="485"/>
      <c r="O143" s="476">
        <f t="shared" si="66"/>
        <v>0</v>
      </c>
      <c r="P143" s="476">
        <f t="shared" si="67"/>
        <v>0</v>
      </c>
    </row>
    <row r="144" spans="2:16" ht="12.5">
      <c r="B144" s="160" t="str">
        <f t="shared" si="37"/>
        <v/>
      </c>
      <c r="C144" s="470">
        <f>IF(D93="","-",+C143+1)</f>
        <v>2052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62"/>
        <v>0</v>
      </c>
      <c r="G144" s="483">
        <f t="shared" si="63"/>
        <v>0</v>
      </c>
      <c r="H144" s="484">
        <f t="shared" si="60"/>
        <v>0</v>
      </c>
      <c r="I144" s="540">
        <f t="shared" si="61"/>
        <v>0</v>
      </c>
      <c r="J144" s="476">
        <f t="shared" si="64"/>
        <v>0</v>
      </c>
      <c r="K144" s="476"/>
      <c r="L144" s="485"/>
      <c r="M144" s="476">
        <f t="shared" si="65"/>
        <v>0</v>
      </c>
      <c r="N144" s="485"/>
      <c r="O144" s="476">
        <f t="shared" si="66"/>
        <v>0</v>
      </c>
      <c r="P144" s="476">
        <f t="shared" si="67"/>
        <v>0</v>
      </c>
    </row>
    <row r="145" spans="2:16" ht="12.5">
      <c r="B145" s="160" t="str">
        <f t="shared" si="37"/>
        <v/>
      </c>
      <c r="C145" s="470">
        <f>IF(D93="","-",+C144+1)</f>
        <v>2053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62"/>
        <v>0</v>
      </c>
      <c r="G145" s="483">
        <f t="shared" si="63"/>
        <v>0</v>
      </c>
      <c r="H145" s="484">
        <f t="shared" si="60"/>
        <v>0</v>
      </c>
      <c r="I145" s="540">
        <f t="shared" si="61"/>
        <v>0</v>
      </c>
      <c r="J145" s="476">
        <f t="shared" si="64"/>
        <v>0</v>
      </c>
      <c r="K145" s="476"/>
      <c r="L145" s="485"/>
      <c r="M145" s="476">
        <f t="shared" si="65"/>
        <v>0</v>
      </c>
      <c r="N145" s="485"/>
      <c r="O145" s="476">
        <f t="shared" si="66"/>
        <v>0</v>
      </c>
      <c r="P145" s="476">
        <f t="shared" si="67"/>
        <v>0</v>
      </c>
    </row>
    <row r="146" spans="2:16" ht="12.5">
      <c r="B146" s="160" t="str">
        <f t="shared" si="37"/>
        <v/>
      </c>
      <c r="C146" s="470">
        <f>IF(D93="","-",+C145+1)</f>
        <v>2054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62"/>
        <v>0</v>
      </c>
      <c r="G146" s="483">
        <f t="shared" si="63"/>
        <v>0</v>
      </c>
      <c r="H146" s="484">
        <f t="shared" si="60"/>
        <v>0</v>
      </c>
      <c r="I146" s="540">
        <f t="shared" si="61"/>
        <v>0</v>
      </c>
      <c r="J146" s="476">
        <f t="shared" si="64"/>
        <v>0</v>
      </c>
      <c r="K146" s="476"/>
      <c r="L146" s="485"/>
      <c r="M146" s="476">
        <f t="shared" si="65"/>
        <v>0</v>
      </c>
      <c r="N146" s="485"/>
      <c r="O146" s="476">
        <f t="shared" si="66"/>
        <v>0</v>
      </c>
      <c r="P146" s="476">
        <f t="shared" si="67"/>
        <v>0</v>
      </c>
    </row>
    <row r="147" spans="2:16" ht="12.5">
      <c r="B147" s="160" t="str">
        <f t="shared" si="37"/>
        <v/>
      </c>
      <c r="C147" s="470">
        <f>IF(D93="","-",+C146+1)</f>
        <v>2055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62"/>
        <v>0</v>
      </c>
      <c r="G147" s="483">
        <f t="shared" si="63"/>
        <v>0</v>
      </c>
      <c r="H147" s="484">
        <f t="shared" si="60"/>
        <v>0</v>
      </c>
      <c r="I147" s="540">
        <f t="shared" si="61"/>
        <v>0</v>
      </c>
      <c r="J147" s="476">
        <f t="shared" si="64"/>
        <v>0</v>
      </c>
      <c r="K147" s="476"/>
      <c r="L147" s="485"/>
      <c r="M147" s="476">
        <f t="shared" si="65"/>
        <v>0</v>
      </c>
      <c r="N147" s="485"/>
      <c r="O147" s="476">
        <f t="shared" si="66"/>
        <v>0</v>
      </c>
      <c r="P147" s="476">
        <f t="shared" si="67"/>
        <v>0</v>
      </c>
    </row>
    <row r="148" spans="2:16" ht="12.5">
      <c r="B148" s="160" t="str">
        <f t="shared" si="37"/>
        <v/>
      </c>
      <c r="C148" s="470">
        <f>IF(D93="","-",+C147+1)</f>
        <v>2056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62"/>
        <v>0</v>
      </c>
      <c r="G148" s="483">
        <f t="shared" si="63"/>
        <v>0</v>
      </c>
      <c r="H148" s="484">
        <f t="shared" si="60"/>
        <v>0</v>
      </c>
      <c r="I148" s="540">
        <f t="shared" si="61"/>
        <v>0</v>
      </c>
      <c r="J148" s="476">
        <f t="shared" si="64"/>
        <v>0</v>
      </c>
      <c r="K148" s="476"/>
      <c r="L148" s="485"/>
      <c r="M148" s="476">
        <f t="shared" si="65"/>
        <v>0</v>
      </c>
      <c r="N148" s="485"/>
      <c r="O148" s="476">
        <f t="shared" si="66"/>
        <v>0</v>
      </c>
      <c r="P148" s="476">
        <f t="shared" si="67"/>
        <v>0</v>
      </c>
    </row>
    <row r="149" spans="2:16" ht="12.5">
      <c r="B149" s="160" t="str">
        <f t="shared" si="37"/>
        <v/>
      </c>
      <c r="C149" s="470">
        <f>IF(D93="","-",+C148+1)</f>
        <v>2057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62"/>
        <v>0</v>
      </c>
      <c r="G149" s="483">
        <f t="shared" si="63"/>
        <v>0</v>
      </c>
      <c r="H149" s="484">
        <f t="shared" si="60"/>
        <v>0</v>
      </c>
      <c r="I149" s="540">
        <f t="shared" si="61"/>
        <v>0</v>
      </c>
      <c r="J149" s="476">
        <f t="shared" si="64"/>
        <v>0</v>
      </c>
      <c r="K149" s="476"/>
      <c r="L149" s="485"/>
      <c r="M149" s="476">
        <f t="shared" si="65"/>
        <v>0</v>
      </c>
      <c r="N149" s="485"/>
      <c r="O149" s="476">
        <f t="shared" si="66"/>
        <v>0</v>
      </c>
      <c r="P149" s="476">
        <f t="shared" si="67"/>
        <v>0</v>
      </c>
    </row>
    <row r="150" spans="2:16" ht="12.5">
      <c r="B150" s="160" t="str">
        <f t="shared" si="37"/>
        <v/>
      </c>
      <c r="C150" s="470">
        <f>IF(D93="","-",+C149+1)</f>
        <v>2058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62"/>
        <v>0</v>
      </c>
      <c r="G150" s="483">
        <f t="shared" si="63"/>
        <v>0</v>
      </c>
      <c r="H150" s="484">
        <f t="shared" si="60"/>
        <v>0</v>
      </c>
      <c r="I150" s="540">
        <f t="shared" si="61"/>
        <v>0</v>
      </c>
      <c r="J150" s="476">
        <f t="shared" si="64"/>
        <v>0</v>
      </c>
      <c r="K150" s="476"/>
      <c r="L150" s="485"/>
      <c r="M150" s="476">
        <f t="shared" si="65"/>
        <v>0</v>
      </c>
      <c r="N150" s="485"/>
      <c r="O150" s="476">
        <f t="shared" si="66"/>
        <v>0</v>
      </c>
      <c r="P150" s="476">
        <f t="shared" si="67"/>
        <v>0</v>
      </c>
    </row>
    <row r="151" spans="2:16" ht="12.5">
      <c r="B151" s="160" t="str">
        <f t="shared" si="37"/>
        <v/>
      </c>
      <c r="C151" s="470">
        <f>IF(D93="","-",+C150+1)</f>
        <v>2059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62"/>
        <v>0</v>
      </c>
      <c r="G151" s="483">
        <f t="shared" si="63"/>
        <v>0</v>
      </c>
      <c r="H151" s="484">
        <f t="shared" si="60"/>
        <v>0</v>
      </c>
      <c r="I151" s="540">
        <f t="shared" si="61"/>
        <v>0</v>
      </c>
      <c r="J151" s="476">
        <f t="shared" si="64"/>
        <v>0</v>
      </c>
      <c r="K151" s="476"/>
      <c r="L151" s="485"/>
      <c r="M151" s="476">
        <f t="shared" si="65"/>
        <v>0</v>
      </c>
      <c r="N151" s="485"/>
      <c r="O151" s="476">
        <f t="shared" si="66"/>
        <v>0</v>
      </c>
      <c r="P151" s="476">
        <f t="shared" si="67"/>
        <v>0</v>
      </c>
    </row>
    <row r="152" spans="2:16" ht="12.5">
      <c r="B152" s="160" t="str">
        <f t="shared" si="37"/>
        <v/>
      </c>
      <c r="C152" s="470">
        <f>IF(D93="","-",+C151+1)</f>
        <v>2060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62"/>
        <v>0</v>
      </c>
      <c r="G152" s="483">
        <f t="shared" si="63"/>
        <v>0</v>
      </c>
      <c r="H152" s="484">
        <f t="shared" si="60"/>
        <v>0</v>
      </c>
      <c r="I152" s="540">
        <f t="shared" si="61"/>
        <v>0</v>
      </c>
      <c r="J152" s="476">
        <f t="shared" si="64"/>
        <v>0</v>
      </c>
      <c r="K152" s="476"/>
      <c r="L152" s="485"/>
      <c r="M152" s="476">
        <f t="shared" si="65"/>
        <v>0</v>
      </c>
      <c r="N152" s="485"/>
      <c r="O152" s="476">
        <f t="shared" si="66"/>
        <v>0</v>
      </c>
      <c r="P152" s="476">
        <f t="shared" si="67"/>
        <v>0</v>
      </c>
    </row>
    <row r="153" spans="2:16" ht="12.5">
      <c r="B153" s="160" t="str">
        <f t="shared" si="37"/>
        <v/>
      </c>
      <c r="C153" s="470">
        <f>IF(D93="","-",+C152+1)</f>
        <v>2061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62"/>
        <v>0</v>
      </c>
      <c r="G153" s="483">
        <f t="shared" si="63"/>
        <v>0</v>
      </c>
      <c r="H153" s="484">
        <f t="shared" si="60"/>
        <v>0</v>
      </c>
      <c r="I153" s="540">
        <f t="shared" si="61"/>
        <v>0</v>
      </c>
      <c r="J153" s="476">
        <f t="shared" si="64"/>
        <v>0</v>
      </c>
      <c r="K153" s="476"/>
      <c r="L153" s="485"/>
      <c r="M153" s="476">
        <f t="shared" si="65"/>
        <v>0</v>
      </c>
      <c r="N153" s="485"/>
      <c r="O153" s="476">
        <f t="shared" si="66"/>
        <v>0</v>
      </c>
      <c r="P153" s="476">
        <f t="shared" si="67"/>
        <v>0</v>
      </c>
    </row>
    <row r="154" spans="2:16" ht="13" thickBot="1">
      <c r="B154" s="160" t="str">
        <f t="shared" si="37"/>
        <v/>
      </c>
      <c r="C154" s="487">
        <f>IF(D93="","-",+C153+1)</f>
        <v>2062</v>
      </c>
      <c r="D154" s="541">
        <f>IF(F153+SUM(E$99:E153)=D$92,F153,D$92-SUM(E$99:E153))</f>
        <v>0</v>
      </c>
      <c r="E154" s="542">
        <f>IF(+J96&lt;F153,J96,D154)</f>
        <v>0</v>
      </c>
      <c r="F154" s="488">
        <f>+D154-E154</f>
        <v>0</v>
      </c>
      <c r="G154" s="488">
        <f>+(F154+D154)/2</f>
        <v>0</v>
      </c>
      <c r="H154" s="490">
        <f t="shared" ref="H154" si="68">+J$94*G154+E154</f>
        <v>0</v>
      </c>
      <c r="I154" s="543">
        <f t="shared" ref="I154" si="69">+J$95*G154+E154</f>
        <v>0</v>
      </c>
      <c r="J154" s="493">
        <f t="shared" si="64"/>
        <v>0</v>
      </c>
      <c r="K154" s="476"/>
      <c r="L154" s="492"/>
      <c r="M154" s="493">
        <f t="shared" si="65"/>
        <v>0</v>
      </c>
      <c r="N154" s="492"/>
      <c r="O154" s="493">
        <f t="shared" si="66"/>
        <v>0</v>
      </c>
      <c r="P154" s="493">
        <f t="shared" si="67"/>
        <v>0</v>
      </c>
    </row>
    <row r="155" spans="2:16" ht="12.5">
      <c r="C155" s="345" t="s">
        <v>77</v>
      </c>
      <c r="D155" s="346"/>
      <c r="E155" s="346">
        <f>SUM(E99:E154)</f>
        <v>84424</v>
      </c>
      <c r="F155" s="346"/>
      <c r="G155" s="346"/>
      <c r="H155" s="346">
        <f>SUM(H99:H154)</f>
        <v>313479.00071760296</v>
      </c>
      <c r="I155" s="346">
        <f>SUM(I99:I154)</f>
        <v>313479.00071760296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6">
    <tabColor rgb="FFC00000"/>
  </sheetPr>
  <dimension ref="A1:P162"/>
  <sheetViews>
    <sheetView topLeftCell="A65" zoomScaleNormal="100" zoomScaleSheetLayoutView="75" workbookViewId="0">
      <selection activeCell="D94" sqref="D9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8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5686.7962355511117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5686.7962355511117</v>
      </c>
      <c r="O6" s="231"/>
      <c r="P6" s="231"/>
    </row>
    <row r="7" spans="1:16" ht="13.5" thickBot="1">
      <c r="C7" s="429" t="s">
        <v>46</v>
      </c>
      <c r="D7" s="430" t="s">
        <v>215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87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56133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2006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3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1439.3076923076924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2006</v>
      </c>
      <c r="D17" s="471">
        <v>56133</v>
      </c>
      <c r="E17" s="472">
        <v>752</v>
      </c>
      <c r="F17" s="471">
        <v>55381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2007</v>
      </c>
      <c r="D18" s="477">
        <v>55381</v>
      </c>
      <c r="E18" s="478">
        <v>1002</v>
      </c>
      <c r="F18" s="477">
        <v>54379</v>
      </c>
      <c r="G18" s="478">
        <v>0</v>
      </c>
      <c r="H18" s="479">
        <v>0</v>
      </c>
      <c r="I18" s="473">
        <f t="shared" si="0"/>
        <v>0</v>
      </c>
      <c r="J18" s="473"/>
      <c r="K18" s="474">
        <v>0</v>
      </c>
      <c r="L18" s="476">
        <f t="shared" si="1"/>
        <v>0</v>
      </c>
      <c r="M18" s="474">
        <v>0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/>
      </c>
      <c r="C19" s="470">
        <f>IF(D11="","-",+C18+1)</f>
        <v>2008</v>
      </c>
      <c r="D19" s="477">
        <v>54379</v>
      </c>
      <c r="E19" s="478">
        <v>1002</v>
      </c>
      <c r="F19" s="477">
        <v>53377</v>
      </c>
      <c r="G19" s="478">
        <v>0</v>
      </c>
      <c r="H19" s="479">
        <v>0</v>
      </c>
      <c r="I19" s="473">
        <f t="shared" si="0"/>
        <v>0</v>
      </c>
      <c r="J19" s="473"/>
      <c r="K19" s="474">
        <v>0</v>
      </c>
      <c r="L19" s="476">
        <f t="shared" si="1"/>
        <v>0</v>
      </c>
      <c r="M19" s="474">
        <v>0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4">IF(D20=F19,"","IU")</f>
        <v/>
      </c>
      <c r="C20" s="470">
        <f>IF(D11="","-",+C19+1)</f>
        <v>2009</v>
      </c>
      <c r="D20" s="477">
        <v>53377</v>
      </c>
      <c r="E20" s="478">
        <v>1002</v>
      </c>
      <c r="F20" s="477">
        <v>52375</v>
      </c>
      <c r="G20" s="478">
        <v>0</v>
      </c>
      <c r="H20" s="479">
        <v>0</v>
      </c>
      <c r="I20" s="473">
        <f t="shared" si="0"/>
        <v>0</v>
      </c>
      <c r="J20" s="473"/>
      <c r="K20" s="474">
        <v>0</v>
      </c>
      <c r="L20" s="476">
        <f t="shared" si="1"/>
        <v>0</v>
      </c>
      <c r="M20" s="474">
        <v>0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4"/>
        <v/>
      </c>
      <c r="C21" s="470">
        <f>IF(D11="","-",+C20+1)</f>
        <v>2010</v>
      </c>
      <c r="D21" s="477">
        <v>52375</v>
      </c>
      <c r="E21" s="478">
        <v>1002.375</v>
      </c>
      <c r="F21" s="477">
        <v>51372.625</v>
      </c>
      <c r="G21" s="478">
        <v>8415.2657154769768</v>
      </c>
      <c r="H21" s="479">
        <v>8415.2657154769768</v>
      </c>
      <c r="I21" s="473">
        <f t="shared" si="0"/>
        <v>0</v>
      </c>
      <c r="J21" s="473"/>
      <c r="K21" s="474">
        <f t="shared" ref="K21:K26" si="5">G21</f>
        <v>8415.2657154769768</v>
      </c>
      <c r="L21" s="548">
        <f t="shared" si="1"/>
        <v>0</v>
      </c>
      <c r="M21" s="474">
        <f t="shared" ref="M21:M26" si="6">H21</f>
        <v>8415.2657154769768</v>
      </c>
      <c r="N21" s="476">
        <f t="shared" si="2"/>
        <v>0</v>
      </c>
      <c r="O21" s="476">
        <f t="shared" si="3"/>
        <v>0</v>
      </c>
      <c r="P21" s="241"/>
    </row>
    <row r="22" spans="2:16" ht="12.5">
      <c r="B22" s="160" t="str">
        <f t="shared" si="4"/>
        <v/>
      </c>
      <c r="C22" s="470">
        <f>IF(D11="","-",+C21+1)</f>
        <v>2011</v>
      </c>
      <c r="D22" s="477">
        <v>51372.625</v>
      </c>
      <c r="E22" s="478">
        <v>1100.6470588235295</v>
      </c>
      <c r="F22" s="477">
        <v>50271.977941176468</v>
      </c>
      <c r="G22" s="478">
        <v>8970.3904929935452</v>
      </c>
      <c r="H22" s="479">
        <v>8970.3904929935452</v>
      </c>
      <c r="I22" s="473">
        <f t="shared" si="0"/>
        <v>0</v>
      </c>
      <c r="J22" s="473"/>
      <c r="K22" s="474">
        <f t="shared" si="5"/>
        <v>8970.3904929935452</v>
      </c>
      <c r="L22" s="548">
        <f t="shared" si="1"/>
        <v>0</v>
      </c>
      <c r="M22" s="474">
        <f t="shared" si="6"/>
        <v>8970.3904929935452</v>
      </c>
      <c r="N22" s="476">
        <f t="shared" si="2"/>
        <v>0</v>
      </c>
      <c r="O22" s="476">
        <f t="shared" si="3"/>
        <v>0</v>
      </c>
      <c r="P22" s="241"/>
    </row>
    <row r="23" spans="2:16" ht="12.5">
      <c r="B23" s="160" t="str">
        <f t="shared" si="4"/>
        <v/>
      </c>
      <c r="C23" s="470">
        <f>IF(D11="","-",+C22+1)</f>
        <v>2012</v>
      </c>
      <c r="D23" s="477">
        <v>50271.977941176468</v>
      </c>
      <c r="E23" s="478">
        <v>1079.4807692307693</v>
      </c>
      <c r="F23" s="477">
        <v>49192.497171945703</v>
      </c>
      <c r="G23" s="478">
        <v>7927.4076335998161</v>
      </c>
      <c r="H23" s="479">
        <v>7927.4076335998161</v>
      </c>
      <c r="I23" s="473">
        <f t="shared" si="0"/>
        <v>0</v>
      </c>
      <c r="J23" s="473"/>
      <c r="K23" s="474">
        <f t="shared" si="5"/>
        <v>7927.4076335998161</v>
      </c>
      <c r="L23" s="548">
        <f t="shared" si="1"/>
        <v>0</v>
      </c>
      <c r="M23" s="474">
        <f t="shared" si="6"/>
        <v>7927.4076335998161</v>
      </c>
      <c r="N23" s="476">
        <f t="shared" si="2"/>
        <v>0</v>
      </c>
      <c r="O23" s="476">
        <f t="shared" si="3"/>
        <v>0</v>
      </c>
      <c r="P23" s="241"/>
    </row>
    <row r="24" spans="2:16" ht="12.5">
      <c r="B24" s="160" t="str">
        <f t="shared" si="4"/>
        <v/>
      </c>
      <c r="C24" s="470">
        <f>IF(D11="","-",+C23+1)</f>
        <v>2013</v>
      </c>
      <c r="D24" s="477">
        <v>49192.497171945703</v>
      </c>
      <c r="E24" s="478">
        <v>1079.4807692307693</v>
      </c>
      <c r="F24" s="477">
        <v>48113.016402714937</v>
      </c>
      <c r="G24" s="478">
        <v>7950.3447729090094</v>
      </c>
      <c r="H24" s="479">
        <v>7950.3447729090094</v>
      </c>
      <c r="I24" s="473">
        <v>0</v>
      </c>
      <c r="J24" s="473"/>
      <c r="K24" s="474">
        <f t="shared" si="5"/>
        <v>7950.3447729090094</v>
      </c>
      <c r="L24" s="548">
        <f t="shared" ref="L24:L29" si="7">IF(K24&lt;&gt;0,+G24-K24,0)</f>
        <v>0</v>
      </c>
      <c r="M24" s="474">
        <f t="shared" si="6"/>
        <v>7950.3447729090094</v>
      </c>
      <c r="N24" s="476">
        <f t="shared" ref="N24:N29" si="8">IF(M24&lt;&gt;0,+H24-M24,0)</f>
        <v>0</v>
      </c>
      <c r="O24" s="476">
        <f t="shared" ref="O24:O29" si="9">+N24-L24</f>
        <v>0</v>
      </c>
      <c r="P24" s="241"/>
    </row>
    <row r="25" spans="2:16" ht="12.5">
      <c r="B25" s="160" t="str">
        <f t="shared" si="4"/>
        <v/>
      </c>
      <c r="C25" s="470">
        <f>IF(D11="","-",+C24+1)</f>
        <v>2014</v>
      </c>
      <c r="D25" s="477">
        <v>48113.016402714937</v>
      </c>
      <c r="E25" s="478">
        <v>1079.4807692307693</v>
      </c>
      <c r="F25" s="477">
        <v>47033.535633484171</v>
      </c>
      <c r="G25" s="478">
        <v>7554.0593246775043</v>
      </c>
      <c r="H25" s="479">
        <v>7554.0593246775043</v>
      </c>
      <c r="I25" s="473">
        <v>0</v>
      </c>
      <c r="J25" s="473"/>
      <c r="K25" s="474">
        <f t="shared" si="5"/>
        <v>7554.0593246775043</v>
      </c>
      <c r="L25" s="548">
        <f t="shared" si="7"/>
        <v>0</v>
      </c>
      <c r="M25" s="474">
        <f t="shared" si="6"/>
        <v>7554.0593246775043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4"/>
        <v/>
      </c>
      <c r="C26" s="470">
        <f>IF(D11="","-",+C25+1)</f>
        <v>2015</v>
      </c>
      <c r="D26" s="477">
        <v>47033.535633484171</v>
      </c>
      <c r="E26" s="478">
        <v>1079.4807692307693</v>
      </c>
      <c r="F26" s="477">
        <v>45954.054864253405</v>
      </c>
      <c r="G26" s="478">
        <v>7415.24244849963</v>
      </c>
      <c r="H26" s="479">
        <v>7415.24244849963</v>
      </c>
      <c r="I26" s="473">
        <v>0</v>
      </c>
      <c r="J26" s="473"/>
      <c r="K26" s="474">
        <f t="shared" si="5"/>
        <v>7415.24244849963</v>
      </c>
      <c r="L26" s="548">
        <f t="shared" si="7"/>
        <v>0</v>
      </c>
      <c r="M26" s="474">
        <f t="shared" si="6"/>
        <v>7415.24244849963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4"/>
        <v/>
      </c>
      <c r="C27" s="470">
        <f>IF(D11="","-",+C26+1)</f>
        <v>2016</v>
      </c>
      <c r="D27" s="477">
        <v>45954.054864253405</v>
      </c>
      <c r="E27" s="478">
        <v>1079.4807692307693</v>
      </c>
      <c r="F27" s="477">
        <v>44874.574095022639</v>
      </c>
      <c r="G27" s="478">
        <v>6965.2134846377958</v>
      </c>
      <c r="H27" s="479">
        <v>6965.2134846377958</v>
      </c>
      <c r="I27" s="473">
        <f t="shared" si="0"/>
        <v>0</v>
      </c>
      <c r="J27" s="473"/>
      <c r="K27" s="474">
        <f t="shared" ref="K27:K32" si="10">G27</f>
        <v>6965.2134846377958</v>
      </c>
      <c r="L27" s="548">
        <f t="shared" si="7"/>
        <v>0</v>
      </c>
      <c r="M27" s="474">
        <f t="shared" ref="M27:M32" si="11">H27</f>
        <v>6965.2134846377958</v>
      </c>
      <c r="N27" s="476">
        <f t="shared" si="8"/>
        <v>0</v>
      </c>
      <c r="O27" s="476">
        <f t="shared" si="9"/>
        <v>0</v>
      </c>
      <c r="P27" s="241"/>
    </row>
    <row r="28" spans="2:16" ht="12.5">
      <c r="B28" s="160" t="str">
        <f t="shared" si="4"/>
        <v/>
      </c>
      <c r="C28" s="470">
        <f>IF(D11="","-",+C27+1)</f>
        <v>2017</v>
      </c>
      <c r="D28" s="477">
        <v>44874.574095022639</v>
      </c>
      <c r="E28" s="478">
        <v>1220.2826086956522</v>
      </c>
      <c r="F28" s="477">
        <v>43654.291486326983</v>
      </c>
      <c r="G28" s="478">
        <v>6775.7563240948048</v>
      </c>
      <c r="H28" s="479">
        <v>6775.7563240948048</v>
      </c>
      <c r="I28" s="473">
        <f t="shared" si="0"/>
        <v>0</v>
      </c>
      <c r="J28" s="473"/>
      <c r="K28" s="474">
        <f t="shared" si="10"/>
        <v>6775.7563240948048</v>
      </c>
      <c r="L28" s="548">
        <f t="shared" si="7"/>
        <v>0</v>
      </c>
      <c r="M28" s="474">
        <f t="shared" si="11"/>
        <v>6775.7563240948048</v>
      </c>
      <c r="N28" s="476">
        <f t="shared" si="8"/>
        <v>0</v>
      </c>
      <c r="O28" s="476">
        <f t="shared" si="9"/>
        <v>0</v>
      </c>
      <c r="P28" s="241"/>
    </row>
    <row r="29" spans="2:16" ht="12.5">
      <c r="B29" s="160" t="str">
        <f t="shared" si="4"/>
        <v/>
      </c>
      <c r="C29" s="470">
        <f>IF(D11="","-",+C28+1)</f>
        <v>2018</v>
      </c>
      <c r="D29" s="477">
        <v>43654.291486326983</v>
      </c>
      <c r="E29" s="478">
        <v>1247.4000000000001</v>
      </c>
      <c r="F29" s="477">
        <v>42406.891486326982</v>
      </c>
      <c r="G29" s="478">
        <v>6400.6980544313355</v>
      </c>
      <c r="H29" s="479">
        <v>6400.6980544313355</v>
      </c>
      <c r="I29" s="473">
        <f t="shared" si="0"/>
        <v>0</v>
      </c>
      <c r="J29" s="473"/>
      <c r="K29" s="474">
        <f t="shared" si="10"/>
        <v>6400.6980544313355</v>
      </c>
      <c r="L29" s="548">
        <f t="shared" si="7"/>
        <v>0</v>
      </c>
      <c r="M29" s="474">
        <f t="shared" si="11"/>
        <v>6400.6980544313355</v>
      </c>
      <c r="N29" s="476">
        <f t="shared" si="8"/>
        <v>0</v>
      </c>
      <c r="O29" s="476">
        <f t="shared" si="9"/>
        <v>0</v>
      </c>
      <c r="P29" s="241"/>
    </row>
    <row r="30" spans="2:16" ht="12.5">
      <c r="B30" s="160" t="str">
        <f t="shared" si="4"/>
        <v/>
      </c>
      <c r="C30" s="470">
        <f>IF(D11="","-",+C29+1)</f>
        <v>2019</v>
      </c>
      <c r="D30" s="477">
        <v>42406.891486326982</v>
      </c>
      <c r="E30" s="478">
        <v>1403.325</v>
      </c>
      <c r="F30" s="477">
        <v>41003.566486326985</v>
      </c>
      <c r="G30" s="478">
        <v>6059.9903761062678</v>
      </c>
      <c r="H30" s="479">
        <v>6059.9903761062678</v>
      </c>
      <c r="I30" s="473">
        <f t="shared" si="0"/>
        <v>0</v>
      </c>
      <c r="J30" s="473"/>
      <c r="K30" s="474">
        <f t="shared" si="10"/>
        <v>6059.9903761062678</v>
      </c>
      <c r="L30" s="548">
        <f t="shared" ref="L30" si="12">IF(K30&lt;&gt;0,+G30-K30,0)</f>
        <v>0</v>
      </c>
      <c r="M30" s="474">
        <f t="shared" si="11"/>
        <v>6059.9903761062678</v>
      </c>
      <c r="N30" s="476">
        <f t="shared" ref="N30" si="13">IF(M30&lt;&gt;0,+H30-M30,0)</f>
        <v>0</v>
      </c>
      <c r="O30" s="476">
        <f t="shared" ref="O30" si="14">+N30-L30</f>
        <v>0</v>
      </c>
      <c r="P30" s="241"/>
    </row>
    <row r="31" spans="2:16" ht="12.5">
      <c r="B31" s="160" t="str">
        <f t="shared" si="4"/>
        <v>IU</v>
      </c>
      <c r="C31" s="470">
        <f>IF(D11="","-",+C30+1)</f>
        <v>2020</v>
      </c>
      <c r="D31" s="477">
        <v>41159.491486326981</v>
      </c>
      <c r="E31" s="478">
        <v>1336.5</v>
      </c>
      <c r="F31" s="477">
        <v>39822.991486326981</v>
      </c>
      <c r="G31" s="478">
        <v>5709.7475035377865</v>
      </c>
      <c r="H31" s="479">
        <v>5709.7475035377865</v>
      </c>
      <c r="I31" s="473">
        <f t="shared" si="0"/>
        <v>0</v>
      </c>
      <c r="J31" s="473"/>
      <c r="K31" s="474">
        <f t="shared" si="10"/>
        <v>5709.7475035377865</v>
      </c>
      <c r="L31" s="548">
        <f t="shared" ref="L31" si="15">IF(K31&lt;&gt;0,+G31-K31,0)</f>
        <v>0</v>
      </c>
      <c r="M31" s="474">
        <f t="shared" si="11"/>
        <v>5709.7475035377865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4"/>
        <v>IU</v>
      </c>
      <c r="C32" s="470">
        <f>IF(D11="","-",+C31+1)</f>
        <v>2021</v>
      </c>
      <c r="D32" s="477">
        <v>39667.06648632697</v>
      </c>
      <c r="E32" s="478">
        <v>1305.4186046511627</v>
      </c>
      <c r="F32" s="477">
        <v>38361.64788167581</v>
      </c>
      <c r="G32" s="478">
        <v>5441.6348487910545</v>
      </c>
      <c r="H32" s="479">
        <v>5441.6348487910545</v>
      </c>
      <c r="I32" s="473">
        <f t="shared" si="0"/>
        <v>0</v>
      </c>
      <c r="J32" s="473"/>
      <c r="K32" s="474">
        <f t="shared" si="10"/>
        <v>5441.6348487910545</v>
      </c>
      <c r="L32" s="548">
        <f t="shared" ref="L32" si="16">IF(K32&lt;&gt;0,+G32-K32,0)</f>
        <v>0</v>
      </c>
      <c r="M32" s="474">
        <f t="shared" si="11"/>
        <v>5441.6348487910545</v>
      </c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4"/>
        <v/>
      </c>
      <c r="C33" s="470">
        <f>IF(D11="","-",+C32+1)</f>
        <v>2022</v>
      </c>
      <c r="D33" s="477">
        <v>38361.64788167581</v>
      </c>
      <c r="E33" s="478">
        <v>1336.5</v>
      </c>
      <c r="F33" s="477">
        <v>37025.14788167581</v>
      </c>
      <c r="G33" s="478">
        <v>5328.2273193212004</v>
      </c>
      <c r="H33" s="479">
        <v>5328.2273193212004</v>
      </c>
      <c r="I33" s="473">
        <f t="shared" si="0"/>
        <v>0</v>
      </c>
      <c r="J33" s="473"/>
      <c r="K33" s="474">
        <f t="shared" ref="K33" si="17">G33</f>
        <v>5328.2273193212004</v>
      </c>
      <c r="L33" s="548">
        <f t="shared" ref="L33" si="18">IF(K33&lt;&gt;0,+G33-K33,0)</f>
        <v>0</v>
      </c>
      <c r="M33" s="474">
        <f t="shared" ref="M33" si="19">H33</f>
        <v>5328.2273193212004</v>
      </c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4"/>
        <v/>
      </c>
      <c r="C34" s="470">
        <f>IF(D11="","-",+C33+1)</f>
        <v>2023</v>
      </c>
      <c r="D34" s="477">
        <v>37025.14788167581</v>
      </c>
      <c r="E34" s="478">
        <v>1439.3076923076924</v>
      </c>
      <c r="F34" s="477">
        <v>35585.840189368115</v>
      </c>
      <c r="G34" s="478">
        <v>5686.7962355511117</v>
      </c>
      <c r="H34" s="479">
        <v>5686.7962355511117</v>
      </c>
      <c r="I34" s="473">
        <f t="shared" si="0"/>
        <v>0</v>
      </c>
      <c r="J34" s="473"/>
      <c r="K34" s="474">
        <f t="shared" ref="K34" si="20">G34</f>
        <v>5686.7962355511117</v>
      </c>
      <c r="L34" s="548">
        <f t="shared" ref="L34" si="21">IF(K34&lt;&gt;0,+G34-K34,0)</f>
        <v>0</v>
      </c>
      <c r="M34" s="474">
        <f t="shared" ref="M34" si="22">H34</f>
        <v>5686.7962355511117</v>
      </c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4"/>
        <v/>
      </c>
      <c r="C35" s="470">
        <f>IF(D11="","-",+C34+1)</f>
        <v>2024</v>
      </c>
      <c r="D35" s="483">
        <f>IF(F34+SUM(E$17:E34)=D$10,F34,D$10-SUM(E$17:E34))</f>
        <v>35585.840189368115</v>
      </c>
      <c r="E35" s="482">
        <f>IF(+I14&lt;F34,I14,D35)</f>
        <v>1439.3076923076924</v>
      </c>
      <c r="F35" s="483">
        <f t="shared" ref="F35:F48" si="23">+D35-E35</f>
        <v>34146.53249706042</v>
      </c>
      <c r="G35" s="484">
        <f t="shared" ref="G35:G72" si="24">(D35+F35)/2*I$12+E35</f>
        <v>5600.8991076380617</v>
      </c>
      <c r="H35" s="453">
        <f t="shared" ref="H35:H72" si="25">+(D35+F35)/2*I$13+E35</f>
        <v>5600.8991076380617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4"/>
        <v/>
      </c>
      <c r="C36" s="470">
        <f>IF(D11="","-",+C35+1)</f>
        <v>2025</v>
      </c>
      <c r="D36" s="483">
        <f>IF(F35+SUM(E$17:E35)=D$10,F35,D$10-SUM(E$17:E35))</f>
        <v>34146.53249706042</v>
      </c>
      <c r="E36" s="482">
        <f>IF(+I14&lt;F35,I14,D36)</f>
        <v>1439.3076923076924</v>
      </c>
      <c r="F36" s="483">
        <f t="shared" si="23"/>
        <v>32707.224804752728</v>
      </c>
      <c r="G36" s="484">
        <f t="shared" si="24"/>
        <v>5429.1048518119605</v>
      </c>
      <c r="H36" s="453">
        <f t="shared" si="25"/>
        <v>5429.1048518119605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4"/>
        <v/>
      </c>
      <c r="C37" s="470">
        <f>IF(D11="","-",+C36+1)</f>
        <v>2026</v>
      </c>
      <c r="D37" s="483">
        <f>IF(F36+SUM(E$17:E36)=D$10,F36,D$10-SUM(E$17:E36))</f>
        <v>32707.224804752728</v>
      </c>
      <c r="E37" s="482">
        <f>IF(+I14&lt;F36,I14,D37)</f>
        <v>1439.3076923076924</v>
      </c>
      <c r="F37" s="483">
        <f t="shared" si="23"/>
        <v>31267.917112445037</v>
      </c>
      <c r="G37" s="484">
        <f t="shared" si="24"/>
        <v>5257.3105959858585</v>
      </c>
      <c r="H37" s="453">
        <f t="shared" si="25"/>
        <v>5257.3105959858585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563" t="str">
        <f t="shared" si="4"/>
        <v/>
      </c>
      <c r="C38" s="470">
        <f>IF(D11="","-",+C37+1)</f>
        <v>2027</v>
      </c>
      <c r="D38" s="483">
        <f>IF(F37+SUM(E$17:E37)=D$10,F37,D$10-SUM(E$17:E37))</f>
        <v>31267.917112445037</v>
      </c>
      <c r="E38" s="482">
        <f>IF(+I14&lt;F37,I14,D38)</f>
        <v>1439.3076923076924</v>
      </c>
      <c r="F38" s="483">
        <f t="shared" si="23"/>
        <v>29828.609420137345</v>
      </c>
      <c r="G38" s="484">
        <f t="shared" si="24"/>
        <v>5085.5163401597583</v>
      </c>
      <c r="H38" s="453">
        <f t="shared" si="25"/>
        <v>5085.5163401597583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4"/>
        <v/>
      </c>
      <c r="C39" s="470">
        <f>IF(D11="","-",+C38+1)</f>
        <v>2028</v>
      </c>
      <c r="D39" s="483">
        <f>IF(F38+SUM(E$17:E38)=D$10,F38,D$10-SUM(E$17:E38))</f>
        <v>29828.609420137345</v>
      </c>
      <c r="E39" s="482">
        <f>IF(+I14&lt;F38,I14,D39)</f>
        <v>1439.3076923076924</v>
      </c>
      <c r="F39" s="483">
        <f t="shared" si="23"/>
        <v>28389.301727829654</v>
      </c>
      <c r="G39" s="484">
        <f t="shared" si="24"/>
        <v>4913.7220843336581</v>
      </c>
      <c r="H39" s="453">
        <f t="shared" si="25"/>
        <v>4913.7220843336581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4"/>
        <v/>
      </c>
      <c r="C40" s="470">
        <f>IF(D11="","-",+C39+1)</f>
        <v>2029</v>
      </c>
      <c r="D40" s="483">
        <f>IF(F39+SUM(E$17:E39)=D$10,F39,D$10-SUM(E$17:E39))</f>
        <v>28389.301727829654</v>
      </c>
      <c r="E40" s="482">
        <f>IF(+I14&lt;F39,I14,D40)</f>
        <v>1439.3076923076924</v>
      </c>
      <c r="F40" s="483">
        <f t="shared" si="23"/>
        <v>26949.994035521962</v>
      </c>
      <c r="G40" s="484">
        <f t="shared" si="24"/>
        <v>4741.927828507557</v>
      </c>
      <c r="H40" s="453">
        <f t="shared" si="25"/>
        <v>4741.927828507557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4"/>
        <v/>
      </c>
      <c r="C41" s="470">
        <f>IF(D11="","-",+C40+1)</f>
        <v>2030</v>
      </c>
      <c r="D41" s="483">
        <f>IF(F40+SUM(E$17:E40)=D$10,F40,D$10-SUM(E$17:E40))</f>
        <v>26949.994035521962</v>
      </c>
      <c r="E41" s="482">
        <f>IF(+I14&lt;F40,I14,D41)</f>
        <v>1439.3076923076924</v>
      </c>
      <c r="F41" s="483">
        <f t="shared" si="23"/>
        <v>25510.686343214271</v>
      </c>
      <c r="G41" s="484">
        <f t="shared" si="24"/>
        <v>4570.1335726814559</v>
      </c>
      <c r="H41" s="453">
        <f t="shared" si="25"/>
        <v>4570.1335726814559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4"/>
        <v/>
      </c>
      <c r="C42" s="470">
        <f>IF(D11="","-",+C41+1)</f>
        <v>2031</v>
      </c>
      <c r="D42" s="483">
        <f>IF(F41+SUM(E$17:E41)=D$10,F41,D$10-SUM(E$17:E41))</f>
        <v>25510.686343214271</v>
      </c>
      <c r="E42" s="482">
        <f>IF(+I14&lt;F41,I14,D42)</f>
        <v>1439.3076923076924</v>
      </c>
      <c r="F42" s="483">
        <f t="shared" si="23"/>
        <v>24071.378650906579</v>
      </c>
      <c r="G42" s="484">
        <f t="shared" si="24"/>
        <v>4398.3393168553557</v>
      </c>
      <c r="H42" s="453">
        <f t="shared" si="25"/>
        <v>4398.3393168553557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4"/>
        <v/>
      </c>
      <c r="C43" s="470">
        <f>IF(D11="","-",+C42+1)</f>
        <v>2032</v>
      </c>
      <c r="D43" s="483">
        <f>IF(F42+SUM(E$17:E42)=D$10,F42,D$10-SUM(E$17:E42))</f>
        <v>24071.378650906579</v>
      </c>
      <c r="E43" s="482">
        <f>IF(+I14&lt;F42,I14,D43)</f>
        <v>1439.3076923076924</v>
      </c>
      <c r="F43" s="483">
        <f t="shared" si="23"/>
        <v>22632.070958598888</v>
      </c>
      <c r="G43" s="484">
        <f t="shared" si="24"/>
        <v>4226.5450610292546</v>
      </c>
      <c r="H43" s="453">
        <f t="shared" si="25"/>
        <v>4226.5450610292546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4"/>
        <v/>
      </c>
      <c r="C44" s="470">
        <f>IF(D11="","-",+C43+1)</f>
        <v>2033</v>
      </c>
      <c r="D44" s="483">
        <f>IF(F43+SUM(E$17:E43)=D$10,F43,D$10-SUM(E$17:E43))</f>
        <v>22632.070958598888</v>
      </c>
      <c r="E44" s="482">
        <f>IF(+I14&lt;F43,I14,D44)</f>
        <v>1439.3076923076924</v>
      </c>
      <c r="F44" s="483">
        <f t="shared" si="23"/>
        <v>21192.763266291196</v>
      </c>
      <c r="G44" s="484">
        <f t="shared" si="24"/>
        <v>4054.750805203154</v>
      </c>
      <c r="H44" s="453">
        <f t="shared" si="25"/>
        <v>4054.750805203154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4"/>
        <v/>
      </c>
      <c r="C45" s="470">
        <f>IF(D11="","-",+C44+1)</f>
        <v>2034</v>
      </c>
      <c r="D45" s="483">
        <f>IF(F44+SUM(E$17:E44)=D$10,F44,D$10-SUM(E$17:E44))</f>
        <v>21192.763266291196</v>
      </c>
      <c r="E45" s="482">
        <f>IF(+I14&lt;F44,I14,D45)</f>
        <v>1439.3076923076924</v>
      </c>
      <c r="F45" s="483">
        <f t="shared" si="23"/>
        <v>19753.455573983505</v>
      </c>
      <c r="G45" s="484">
        <f t="shared" si="24"/>
        <v>3882.9565493770529</v>
      </c>
      <c r="H45" s="453">
        <f t="shared" si="25"/>
        <v>3882.9565493770529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4"/>
        <v/>
      </c>
      <c r="C46" s="470">
        <f>IF(D11="","-",+C45+1)</f>
        <v>2035</v>
      </c>
      <c r="D46" s="483">
        <f>IF(F45+SUM(E$17:E45)=D$10,F45,D$10-SUM(E$17:E45))</f>
        <v>19753.455573983505</v>
      </c>
      <c r="E46" s="482">
        <f>IF(+I14&lt;F45,I14,D46)</f>
        <v>1439.3076923076924</v>
      </c>
      <c r="F46" s="483">
        <f t="shared" si="23"/>
        <v>18314.147881675814</v>
      </c>
      <c r="G46" s="484">
        <f t="shared" si="24"/>
        <v>3711.1622935509527</v>
      </c>
      <c r="H46" s="453">
        <f t="shared" si="25"/>
        <v>3711.1622935509527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4"/>
        <v/>
      </c>
      <c r="C47" s="470">
        <f>IF(D11="","-",+C46+1)</f>
        <v>2036</v>
      </c>
      <c r="D47" s="483">
        <f>IF(F46+SUM(E$17:E46)=D$10,F46,D$10-SUM(E$17:E46))</f>
        <v>18314.147881675814</v>
      </c>
      <c r="E47" s="482">
        <f>IF(+I14&lt;F46,I14,D47)</f>
        <v>1439.3076923076924</v>
      </c>
      <c r="F47" s="483">
        <f t="shared" si="23"/>
        <v>16874.840189368122</v>
      </c>
      <c r="G47" s="484">
        <f t="shared" si="24"/>
        <v>3539.3680377248515</v>
      </c>
      <c r="H47" s="453">
        <f t="shared" si="25"/>
        <v>3539.3680377248515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4"/>
        <v/>
      </c>
      <c r="C48" s="470">
        <f>IF(D11="","-",+C47+1)</f>
        <v>2037</v>
      </c>
      <c r="D48" s="483">
        <f>IF(F47+SUM(E$17:E47)=D$10,F47,D$10-SUM(E$17:E47))</f>
        <v>16874.840189368122</v>
      </c>
      <c r="E48" s="482">
        <f>IF(+I14&lt;F47,I14,D48)</f>
        <v>1439.3076923076924</v>
      </c>
      <c r="F48" s="483">
        <f t="shared" si="23"/>
        <v>15435.532497060431</v>
      </c>
      <c r="G48" s="484">
        <f t="shared" si="24"/>
        <v>3367.5737818987509</v>
      </c>
      <c r="H48" s="453">
        <f t="shared" si="25"/>
        <v>3367.5737818987509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4"/>
        <v/>
      </c>
      <c r="C49" s="470">
        <f>IF(D11="","-",+C48+1)</f>
        <v>2038</v>
      </c>
      <c r="D49" s="483">
        <f>IF(F48+SUM(E$17:E48)=D$10,F48,D$10-SUM(E$17:E48))</f>
        <v>15435.532497060431</v>
      </c>
      <c r="E49" s="482">
        <f>IF(+I14&lt;F48,I14,D49)</f>
        <v>1439.3076923076924</v>
      </c>
      <c r="F49" s="483">
        <f t="shared" ref="F49:F72" si="26">+D49-E49</f>
        <v>13996.224804752739</v>
      </c>
      <c r="G49" s="484">
        <f t="shared" si="24"/>
        <v>3195.7795260726498</v>
      </c>
      <c r="H49" s="453">
        <f t="shared" si="25"/>
        <v>3195.7795260726498</v>
      </c>
      <c r="I49" s="473">
        <f t="shared" ref="I49:I72" si="27">H49-G49</f>
        <v>0</v>
      </c>
      <c r="J49" s="473"/>
      <c r="K49" s="485"/>
      <c r="L49" s="476">
        <f t="shared" ref="L49:L72" si="28">IF(K49&lt;&gt;0,+G49-K49,0)</f>
        <v>0</v>
      </c>
      <c r="M49" s="485"/>
      <c r="N49" s="476">
        <f t="shared" ref="N49:N72" si="29">IF(M49&lt;&gt;0,+H49-M49,0)</f>
        <v>0</v>
      </c>
      <c r="O49" s="476">
        <f t="shared" ref="O49:O72" si="30">+N49-L49</f>
        <v>0</v>
      </c>
      <c r="P49" s="241"/>
    </row>
    <row r="50" spans="2:16" ht="12.5">
      <c r="B50" s="160" t="str">
        <f t="shared" si="4"/>
        <v/>
      </c>
      <c r="C50" s="470">
        <f>IF(D11="","-",+C49+1)</f>
        <v>2039</v>
      </c>
      <c r="D50" s="483">
        <f>IF(F49+SUM(E$17:E49)=D$10,F49,D$10-SUM(E$17:E49))</f>
        <v>13996.224804752739</v>
      </c>
      <c r="E50" s="482">
        <f>IF(+I14&lt;F49,I14,D50)</f>
        <v>1439.3076923076924</v>
      </c>
      <c r="F50" s="483">
        <f t="shared" si="26"/>
        <v>12556.917112445048</v>
      </c>
      <c r="G50" s="484">
        <f t="shared" si="24"/>
        <v>3023.9852702465496</v>
      </c>
      <c r="H50" s="453">
        <f t="shared" si="25"/>
        <v>3023.9852702465496</v>
      </c>
      <c r="I50" s="473">
        <f t="shared" si="27"/>
        <v>0</v>
      </c>
      <c r="J50" s="473"/>
      <c r="K50" s="485"/>
      <c r="L50" s="476">
        <f t="shared" si="28"/>
        <v>0</v>
      </c>
      <c r="M50" s="485"/>
      <c r="N50" s="476">
        <f t="shared" si="29"/>
        <v>0</v>
      </c>
      <c r="O50" s="476">
        <f t="shared" si="30"/>
        <v>0</v>
      </c>
      <c r="P50" s="241"/>
    </row>
    <row r="51" spans="2:16" ht="12.5">
      <c r="B51" s="160" t="str">
        <f t="shared" si="4"/>
        <v/>
      </c>
      <c r="C51" s="470">
        <f>IF(D11="","-",+C50+1)</f>
        <v>2040</v>
      </c>
      <c r="D51" s="483">
        <f>IF(F50+SUM(E$17:E50)=D$10,F50,D$10-SUM(E$17:E50))</f>
        <v>12556.917112445048</v>
      </c>
      <c r="E51" s="482">
        <f>IF(+I14&lt;F50,I14,D51)</f>
        <v>1439.3076923076924</v>
      </c>
      <c r="F51" s="483">
        <f t="shared" si="26"/>
        <v>11117.609420137356</v>
      </c>
      <c r="G51" s="484">
        <f t="shared" si="24"/>
        <v>2852.1910144204485</v>
      </c>
      <c r="H51" s="453">
        <f t="shared" si="25"/>
        <v>2852.1910144204485</v>
      </c>
      <c r="I51" s="473">
        <f t="shared" si="27"/>
        <v>0</v>
      </c>
      <c r="J51" s="473"/>
      <c r="K51" s="485"/>
      <c r="L51" s="476">
        <f t="shared" si="28"/>
        <v>0</v>
      </c>
      <c r="M51" s="485"/>
      <c r="N51" s="476">
        <f t="shared" si="29"/>
        <v>0</v>
      </c>
      <c r="O51" s="476">
        <f t="shared" si="30"/>
        <v>0</v>
      </c>
      <c r="P51" s="241"/>
    </row>
    <row r="52" spans="2:16" ht="12.5">
      <c r="B52" s="160" t="str">
        <f t="shared" si="4"/>
        <v/>
      </c>
      <c r="C52" s="470">
        <f>IF(D11="","-",+C51+1)</f>
        <v>2041</v>
      </c>
      <c r="D52" s="483">
        <f>IF(F51+SUM(E$17:E51)=D$10,F51,D$10-SUM(E$17:E51))</f>
        <v>11117.609420137356</v>
      </c>
      <c r="E52" s="482">
        <f>IF(+I14&lt;F51,I14,D52)</f>
        <v>1439.3076923076924</v>
      </c>
      <c r="F52" s="483">
        <f t="shared" si="26"/>
        <v>9678.3017278296647</v>
      </c>
      <c r="G52" s="484">
        <f t="shared" si="24"/>
        <v>2680.3967585943478</v>
      </c>
      <c r="H52" s="453">
        <f t="shared" si="25"/>
        <v>2680.3967585943478</v>
      </c>
      <c r="I52" s="473">
        <f t="shared" si="27"/>
        <v>0</v>
      </c>
      <c r="J52" s="473"/>
      <c r="K52" s="485"/>
      <c r="L52" s="476">
        <f t="shared" si="28"/>
        <v>0</v>
      </c>
      <c r="M52" s="485"/>
      <c r="N52" s="476">
        <f t="shared" si="29"/>
        <v>0</v>
      </c>
      <c r="O52" s="476">
        <f t="shared" si="30"/>
        <v>0</v>
      </c>
      <c r="P52" s="241"/>
    </row>
    <row r="53" spans="2:16" ht="12.5">
      <c r="B53" s="160" t="str">
        <f t="shared" si="4"/>
        <v/>
      </c>
      <c r="C53" s="470">
        <f>IF(D11="","-",+C52+1)</f>
        <v>2042</v>
      </c>
      <c r="D53" s="483">
        <f>IF(F52+SUM(E$17:E52)=D$10,F52,D$10-SUM(E$17:E52))</f>
        <v>9678.3017278296647</v>
      </c>
      <c r="E53" s="482">
        <f>IF(+I14&lt;F52,I14,D53)</f>
        <v>1439.3076923076924</v>
      </c>
      <c r="F53" s="483">
        <f t="shared" si="26"/>
        <v>8238.9940355219733</v>
      </c>
      <c r="G53" s="484">
        <f t="shared" si="24"/>
        <v>2508.6025027682472</v>
      </c>
      <c r="H53" s="453">
        <f t="shared" si="25"/>
        <v>2508.6025027682472</v>
      </c>
      <c r="I53" s="473">
        <f t="shared" si="27"/>
        <v>0</v>
      </c>
      <c r="J53" s="473"/>
      <c r="K53" s="485"/>
      <c r="L53" s="476">
        <f t="shared" si="28"/>
        <v>0</v>
      </c>
      <c r="M53" s="485"/>
      <c r="N53" s="476">
        <f t="shared" si="29"/>
        <v>0</v>
      </c>
      <c r="O53" s="476">
        <f t="shared" si="30"/>
        <v>0</v>
      </c>
      <c r="P53" s="241"/>
    </row>
    <row r="54" spans="2:16" ht="12.5">
      <c r="B54" s="160" t="str">
        <f t="shared" si="4"/>
        <v/>
      </c>
      <c r="C54" s="470">
        <f>IF(D11="","-",+C53+1)</f>
        <v>2043</v>
      </c>
      <c r="D54" s="483">
        <f>IF(F53+SUM(E$17:E53)=D$10,F53,D$10-SUM(E$17:E53))</f>
        <v>8238.9940355219733</v>
      </c>
      <c r="E54" s="482">
        <f>IF(+I14&lt;F53,I14,D54)</f>
        <v>1439.3076923076924</v>
      </c>
      <c r="F54" s="483">
        <f t="shared" si="26"/>
        <v>6799.6863432142809</v>
      </c>
      <c r="G54" s="484">
        <f t="shared" si="24"/>
        <v>2336.8082469421461</v>
      </c>
      <c r="H54" s="453">
        <f t="shared" si="25"/>
        <v>2336.8082469421461</v>
      </c>
      <c r="I54" s="473">
        <f t="shared" si="27"/>
        <v>0</v>
      </c>
      <c r="J54" s="473"/>
      <c r="K54" s="485"/>
      <c r="L54" s="476">
        <f t="shared" si="28"/>
        <v>0</v>
      </c>
      <c r="M54" s="485"/>
      <c r="N54" s="476">
        <f t="shared" si="29"/>
        <v>0</v>
      </c>
      <c r="O54" s="476">
        <f t="shared" si="30"/>
        <v>0</v>
      </c>
      <c r="P54" s="241"/>
    </row>
    <row r="55" spans="2:16" ht="12.5">
      <c r="B55" s="160" t="str">
        <f t="shared" si="4"/>
        <v/>
      </c>
      <c r="C55" s="470">
        <f>IF(D11="","-",+C54+1)</f>
        <v>2044</v>
      </c>
      <c r="D55" s="483">
        <f>IF(F54+SUM(E$17:E54)=D$10,F54,D$10-SUM(E$17:E54))</f>
        <v>6799.6863432142809</v>
      </c>
      <c r="E55" s="482">
        <f>IF(+I14&lt;F54,I14,D55)</f>
        <v>1439.3076923076924</v>
      </c>
      <c r="F55" s="483">
        <f t="shared" si="26"/>
        <v>5360.3786509065885</v>
      </c>
      <c r="G55" s="484">
        <f t="shared" si="24"/>
        <v>2165.0139911160454</v>
      </c>
      <c r="H55" s="453">
        <f t="shared" si="25"/>
        <v>2165.0139911160454</v>
      </c>
      <c r="I55" s="473">
        <f t="shared" si="27"/>
        <v>0</v>
      </c>
      <c r="J55" s="473"/>
      <c r="K55" s="485"/>
      <c r="L55" s="476">
        <f t="shared" si="28"/>
        <v>0</v>
      </c>
      <c r="M55" s="485"/>
      <c r="N55" s="476">
        <f t="shared" si="29"/>
        <v>0</v>
      </c>
      <c r="O55" s="476">
        <f t="shared" si="30"/>
        <v>0</v>
      </c>
      <c r="P55" s="241"/>
    </row>
    <row r="56" spans="2:16" ht="12.5">
      <c r="B56" s="160" t="str">
        <f t="shared" si="4"/>
        <v/>
      </c>
      <c r="C56" s="470">
        <f>IF(D11="","-",+C55+1)</f>
        <v>2045</v>
      </c>
      <c r="D56" s="483">
        <f>IF(F55+SUM(E$17:E55)=D$10,F55,D$10-SUM(E$17:E55))</f>
        <v>5360.3786509065885</v>
      </c>
      <c r="E56" s="482">
        <f>IF(+I14&lt;F55,I14,D56)</f>
        <v>1439.3076923076924</v>
      </c>
      <c r="F56" s="483">
        <f t="shared" si="26"/>
        <v>3921.0709585988961</v>
      </c>
      <c r="G56" s="484">
        <f t="shared" si="24"/>
        <v>1993.2197352899445</v>
      </c>
      <c r="H56" s="453">
        <f t="shared" si="25"/>
        <v>1993.2197352899445</v>
      </c>
      <c r="I56" s="473">
        <f t="shared" si="27"/>
        <v>0</v>
      </c>
      <c r="J56" s="473"/>
      <c r="K56" s="485"/>
      <c r="L56" s="476">
        <f t="shared" si="28"/>
        <v>0</v>
      </c>
      <c r="M56" s="485"/>
      <c r="N56" s="476">
        <f t="shared" si="29"/>
        <v>0</v>
      </c>
      <c r="O56" s="476">
        <f t="shared" si="30"/>
        <v>0</v>
      </c>
      <c r="P56" s="241"/>
    </row>
    <row r="57" spans="2:16" ht="12.5">
      <c r="B57" s="160" t="str">
        <f t="shared" si="4"/>
        <v/>
      </c>
      <c r="C57" s="470">
        <f>IF(D11="","-",+C56+1)</f>
        <v>2046</v>
      </c>
      <c r="D57" s="483">
        <f>IF(F56+SUM(E$17:E56)=D$10,F56,D$10-SUM(E$17:E56))</f>
        <v>3921.0709585988961</v>
      </c>
      <c r="E57" s="482">
        <f>IF(+I14&lt;F56,I14,D57)</f>
        <v>1439.3076923076924</v>
      </c>
      <c r="F57" s="483">
        <f t="shared" si="26"/>
        <v>2481.7632662912038</v>
      </c>
      <c r="G57" s="484">
        <f t="shared" si="24"/>
        <v>1821.4254794638437</v>
      </c>
      <c r="H57" s="453">
        <f t="shared" si="25"/>
        <v>1821.4254794638437</v>
      </c>
      <c r="I57" s="473">
        <f t="shared" si="27"/>
        <v>0</v>
      </c>
      <c r="J57" s="473"/>
      <c r="K57" s="485"/>
      <c r="L57" s="476">
        <f t="shared" si="28"/>
        <v>0</v>
      </c>
      <c r="M57" s="485"/>
      <c r="N57" s="476">
        <f t="shared" si="29"/>
        <v>0</v>
      </c>
      <c r="O57" s="476">
        <f t="shared" si="30"/>
        <v>0</v>
      </c>
      <c r="P57" s="241"/>
    </row>
    <row r="58" spans="2:16" ht="12.5">
      <c r="B58" s="160" t="str">
        <f t="shared" si="4"/>
        <v/>
      </c>
      <c r="C58" s="470">
        <f>IF(D11="","-",+C57+1)</f>
        <v>2047</v>
      </c>
      <c r="D58" s="483">
        <f>IF(F57+SUM(E$17:E57)=D$10,F57,D$10-SUM(E$17:E57))</f>
        <v>2481.7632662912038</v>
      </c>
      <c r="E58" s="482">
        <f>IF(+I14&lt;F57,I14,D58)</f>
        <v>1439.3076923076924</v>
      </c>
      <c r="F58" s="483">
        <f t="shared" si="26"/>
        <v>1042.4555739835114</v>
      </c>
      <c r="G58" s="484">
        <f t="shared" si="24"/>
        <v>1649.6312236377428</v>
      </c>
      <c r="H58" s="453">
        <f t="shared" si="25"/>
        <v>1649.6312236377428</v>
      </c>
      <c r="I58" s="473">
        <f t="shared" si="27"/>
        <v>0</v>
      </c>
      <c r="J58" s="473"/>
      <c r="K58" s="485"/>
      <c r="L58" s="476">
        <f t="shared" si="28"/>
        <v>0</v>
      </c>
      <c r="M58" s="485"/>
      <c r="N58" s="476">
        <f t="shared" si="29"/>
        <v>0</v>
      </c>
      <c r="O58" s="476">
        <f t="shared" si="30"/>
        <v>0</v>
      </c>
      <c r="P58" s="241"/>
    </row>
    <row r="59" spans="2:16" ht="12.5">
      <c r="B59" s="160" t="str">
        <f t="shared" si="4"/>
        <v>IU</v>
      </c>
      <c r="C59" s="470">
        <f>IF(D11="","-",+C58+1)</f>
        <v>2048</v>
      </c>
      <c r="D59" s="483">
        <f>IF(F58+SUM(E$17:E58)=D$10,F58,D$10-SUM(E$17:E58))</f>
        <v>1042.4555739834614</v>
      </c>
      <c r="E59" s="482">
        <f>IF(+I14&lt;F58,I14,D59)</f>
        <v>1042.4555739834614</v>
      </c>
      <c r="F59" s="483">
        <f t="shared" si="26"/>
        <v>0</v>
      </c>
      <c r="G59" s="484">
        <f t="shared" si="24"/>
        <v>1104.6687756919584</v>
      </c>
      <c r="H59" s="453">
        <f t="shared" si="25"/>
        <v>1104.6687756919584</v>
      </c>
      <c r="I59" s="473">
        <f t="shared" si="27"/>
        <v>0</v>
      </c>
      <c r="J59" s="473"/>
      <c r="K59" s="485"/>
      <c r="L59" s="476">
        <f t="shared" si="28"/>
        <v>0</v>
      </c>
      <c r="M59" s="485"/>
      <c r="N59" s="476">
        <f t="shared" si="29"/>
        <v>0</v>
      </c>
      <c r="O59" s="476">
        <f t="shared" si="30"/>
        <v>0</v>
      </c>
      <c r="P59" s="241"/>
    </row>
    <row r="60" spans="2:16" ht="12.5">
      <c r="B60" s="160" t="str">
        <f t="shared" si="4"/>
        <v/>
      </c>
      <c r="C60" s="470">
        <f>IF(D11="","-",+C59+1)</f>
        <v>2049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6"/>
        <v>0</v>
      </c>
      <c r="G60" s="484">
        <f t="shared" si="24"/>
        <v>0</v>
      </c>
      <c r="H60" s="453">
        <f t="shared" si="25"/>
        <v>0</v>
      </c>
      <c r="I60" s="473">
        <f t="shared" si="27"/>
        <v>0</v>
      </c>
      <c r="J60" s="473"/>
      <c r="K60" s="485"/>
      <c r="L60" s="476">
        <f t="shared" si="28"/>
        <v>0</v>
      </c>
      <c r="M60" s="485"/>
      <c r="N60" s="476">
        <f t="shared" si="29"/>
        <v>0</v>
      </c>
      <c r="O60" s="476">
        <f t="shared" si="30"/>
        <v>0</v>
      </c>
      <c r="P60" s="241"/>
    </row>
    <row r="61" spans="2:16" ht="12.5">
      <c r="B61" s="160" t="str">
        <f t="shared" si="4"/>
        <v/>
      </c>
      <c r="C61" s="470">
        <f>IF(D11="","-",+C60+1)</f>
        <v>2050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6"/>
        <v>0</v>
      </c>
      <c r="G61" s="484">
        <f t="shared" si="24"/>
        <v>0</v>
      </c>
      <c r="H61" s="453">
        <f t="shared" si="25"/>
        <v>0</v>
      </c>
      <c r="I61" s="473">
        <f t="shared" si="27"/>
        <v>0</v>
      </c>
      <c r="J61" s="473"/>
      <c r="K61" s="485"/>
      <c r="L61" s="476">
        <f t="shared" si="28"/>
        <v>0</v>
      </c>
      <c r="M61" s="485"/>
      <c r="N61" s="476">
        <f t="shared" si="29"/>
        <v>0</v>
      </c>
      <c r="O61" s="476">
        <f t="shared" si="30"/>
        <v>0</v>
      </c>
      <c r="P61" s="241"/>
    </row>
    <row r="62" spans="2:16" ht="12.5">
      <c r="B62" s="160" t="str">
        <f t="shared" si="4"/>
        <v/>
      </c>
      <c r="C62" s="470">
        <f>IF(D11="","-",+C61+1)</f>
        <v>2051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6"/>
        <v>0</v>
      </c>
      <c r="G62" s="484">
        <f t="shared" si="24"/>
        <v>0</v>
      </c>
      <c r="H62" s="453">
        <f t="shared" si="25"/>
        <v>0</v>
      </c>
      <c r="I62" s="473">
        <f t="shared" si="27"/>
        <v>0</v>
      </c>
      <c r="J62" s="473"/>
      <c r="K62" s="485"/>
      <c r="L62" s="476">
        <f t="shared" si="28"/>
        <v>0</v>
      </c>
      <c r="M62" s="485"/>
      <c r="N62" s="476">
        <f t="shared" si="29"/>
        <v>0</v>
      </c>
      <c r="O62" s="476">
        <f t="shared" si="30"/>
        <v>0</v>
      </c>
      <c r="P62" s="241"/>
    </row>
    <row r="63" spans="2:16" ht="12.5">
      <c r="B63" s="563" t="str">
        <f t="shared" si="4"/>
        <v/>
      </c>
      <c r="C63" s="470">
        <f>IF(D11="","-",+C62+1)</f>
        <v>2052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6"/>
        <v>0</v>
      </c>
      <c r="G63" s="484">
        <f t="shared" si="24"/>
        <v>0</v>
      </c>
      <c r="H63" s="453">
        <f t="shared" si="25"/>
        <v>0</v>
      </c>
      <c r="I63" s="473">
        <f t="shared" si="27"/>
        <v>0</v>
      </c>
      <c r="J63" s="473"/>
      <c r="K63" s="485"/>
      <c r="L63" s="476">
        <f t="shared" si="28"/>
        <v>0</v>
      </c>
      <c r="M63" s="485"/>
      <c r="N63" s="476">
        <f t="shared" si="29"/>
        <v>0</v>
      </c>
      <c r="O63" s="476">
        <f t="shared" si="30"/>
        <v>0</v>
      </c>
      <c r="P63" s="241"/>
    </row>
    <row r="64" spans="2:16" ht="12.5">
      <c r="B64" s="160" t="str">
        <f t="shared" si="4"/>
        <v/>
      </c>
      <c r="C64" s="470">
        <f>IF(D11="","-",+C63+1)</f>
        <v>2053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6"/>
        <v>0</v>
      </c>
      <c r="G64" s="484">
        <f t="shared" si="24"/>
        <v>0</v>
      </c>
      <c r="H64" s="453">
        <f t="shared" si="25"/>
        <v>0</v>
      </c>
      <c r="I64" s="473">
        <f t="shared" si="27"/>
        <v>0</v>
      </c>
      <c r="J64" s="473"/>
      <c r="K64" s="485"/>
      <c r="L64" s="476">
        <f t="shared" si="28"/>
        <v>0</v>
      </c>
      <c r="M64" s="485"/>
      <c r="N64" s="476">
        <f t="shared" si="29"/>
        <v>0</v>
      </c>
      <c r="O64" s="476">
        <f t="shared" si="30"/>
        <v>0</v>
      </c>
      <c r="P64" s="241"/>
    </row>
    <row r="65" spans="2:16" ht="12.5">
      <c r="B65" s="160" t="str">
        <f t="shared" si="4"/>
        <v/>
      </c>
      <c r="C65" s="470">
        <f>IF(D11="","-",+C64+1)</f>
        <v>2054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6"/>
        <v>0</v>
      </c>
      <c r="G65" s="484">
        <f t="shared" si="24"/>
        <v>0</v>
      </c>
      <c r="H65" s="453">
        <f t="shared" si="25"/>
        <v>0</v>
      </c>
      <c r="I65" s="473">
        <f t="shared" si="27"/>
        <v>0</v>
      </c>
      <c r="J65" s="473"/>
      <c r="K65" s="485"/>
      <c r="L65" s="476">
        <f t="shared" si="28"/>
        <v>0</v>
      </c>
      <c r="M65" s="485"/>
      <c r="N65" s="476">
        <f t="shared" si="29"/>
        <v>0</v>
      </c>
      <c r="O65" s="476">
        <f t="shared" si="30"/>
        <v>0</v>
      </c>
      <c r="P65" s="241"/>
    </row>
    <row r="66" spans="2:16" ht="12.5">
      <c r="B66" s="160" t="str">
        <f t="shared" si="4"/>
        <v/>
      </c>
      <c r="C66" s="470">
        <f>IF(D11="","-",+C65+1)</f>
        <v>2055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6"/>
        <v>0</v>
      </c>
      <c r="G66" s="484">
        <f t="shared" si="24"/>
        <v>0</v>
      </c>
      <c r="H66" s="453">
        <f t="shared" si="25"/>
        <v>0</v>
      </c>
      <c r="I66" s="473">
        <f t="shared" si="27"/>
        <v>0</v>
      </c>
      <c r="J66" s="473"/>
      <c r="K66" s="485"/>
      <c r="L66" s="476">
        <f t="shared" si="28"/>
        <v>0</v>
      </c>
      <c r="M66" s="485"/>
      <c r="N66" s="476">
        <f t="shared" si="29"/>
        <v>0</v>
      </c>
      <c r="O66" s="476">
        <f t="shared" si="30"/>
        <v>0</v>
      </c>
      <c r="P66" s="241"/>
    </row>
    <row r="67" spans="2:16" ht="12.5">
      <c r="B67" s="160" t="str">
        <f t="shared" si="4"/>
        <v/>
      </c>
      <c r="C67" s="470">
        <f>IF(D11="","-",+C66+1)</f>
        <v>2056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6"/>
        <v>0</v>
      </c>
      <c r="G67" s="484">
        <f t="shared" si="24"/>
        <v>0</v>
      </c>
      <c r="H67" s="453">
        <f t="shared" si="25"/>
        <v>0</v>
      </c>
      <c r="I67" s="473">
        <f t="shared" si="27"/>
        <v>0</v>
      </c>
      <c r="J67" s="473"/>
      <c r="K67" s="485"/>
      <c r="L67" s="476">
        <f t="shared" si="28"/>
        <v>0</v>
      </c>
      <c r="M67" s="485"/>
      <c r="N67" s="476">
        <f t="shared" si="29"/>
        <v>0</v>
      </c>
      <c r="O67" s="476">
        <f t="shared" si="30"/>
        <v>0</v>
      </c>
      <c r="P67" s="241"/>
    </row>
    <row r="68" spans="2:16" ht="12.5">
      <c r="B68" s="160" t="str">
        <f t="shared" si="4"/>
        <v/>
      </c>
      <c r="C68" s="470">
        <f>IF(D11="","-",+C67+1)</f>
        <v>2057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6"/>
        <v>0</v>
      </c>
      <c r="G68" s="484">
        <f t="shared" si="24"/>
        <v>0</v>
      </c>
      <c r="H68" s="453">
        <f t="shared" si="25"/>
        <v>0</v>
      </c>
      <c r="I68" s="473">
        <f t="shared" si="27"/>
        <v>0</v>
      </c>
      <c r="J68" s="473"/>
      <c r="K68" s="485"/>
      <c r="L68" s="476">
        <f t="shared" si="28"/>
        <v>0</v>
      </c>
      <c r="M68" s="485"/>
      <c r="N68" s="476">
        <f t="shared" si="29"/>
        <v>0</v>
      </c>
      <c r="O68" s="476">
        <f t="shared" si="30"/>
        <v>0</v>
      </c>
      <c r="P68" s="241"/>
    </row>
    <row r="69" spans="2:16" ht="12.5">
      <c r="B69" s="160" t="str">
        <f t="shared" si="4"/>
        <v/>
      </c>
      <c r="C69" s="470">
        <f>IF(D11="","-",+C68+1)</f>
        <v>2058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6"/>
        <v>0</v>
      </c>
      <c r="G69" s="484">
        <f t="shared" si="24"/>
        <v>0</v>
      </c>
      <c r="H69" s="453">
        <f t="shared" si="25"/>
        <v>0</v>
      </c>
      <c r="I69" s="473">
        <f t="shared" si="27"/>
        <v>0</v>
      </c>
      <c r="J69" s="473"/>
      <c r="K69" s="485"/>
      <c r="L69" s="476">
        <f t="shared" si="28"/>
        <v>0</v>
      </c>
      <c r="M69" s="485"/>
      <c r="N69" s="476">
        <f t="shared" si="29"/>
        <v>0</v>
      </c>
      <c r="O69" s="476">
        <f t="shared" si="30"/>
        <v>0</v>
      </c>
      <c r="P69" s="241"/>
    </row>
    <row r="70" spans="2:16" ht="12.5">
      <c r="B70" s="160" t="str">
        <f t="shared" si="4"/>
        <v/>
      </c>
      <c r="C70" s="470">
        <f>IF(D11="","-",+C69+1)</f>
        <v>2059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6"/>
        <v>0</v>
      </c>
      <c r="G70" s="484">
        <f t="shared" si="24"/>
        <v>0</v>
      </c>
      <c r="H70" s="453">
        <f t="shared" si="25"/>
        <v>0</v>
      </c>
      <c r="I70" s="473">
        <f t="shared" si="27"/>
        <v>0</v>
      </c>
      <c r="J70" s="473"/>
      <c r="K70" s="485"/>
      <c r="L70" s="476">
        <f t="shared" si="28"/>
        <v>0</v>
      </c>
      <c r="M70" s="485"/>
      <c r="N70" s="476">
        <f t="shared" si="29"/>
        <v>0</v>
      </c>
      <c r="O70" s="476">
        <f t="shared" si="30"/>
        <v>0</v>
      </c>
      <c r="P70" s="241"/>
    </row>
    <row r="71" spans="2:16" ht="12.5">
      <c r="B71" s="160" t="str">
        <f t="shared" si="4"/>
        <v/>
      </c>
      <c r="C71" s="470">
        <f>IF(D11="","-",+C70+1)</f>
        <v>2060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6"/>
        <v>0</v>
      </c>
      <c r="G71" s="484">
        <f t="shared" si="24"/>
        <v>0</v>
      </c>
      <c r="H71" s="453">
        <f t="shared" si="25"/>
        <v>0</v>
      </c>
      <c r="I71" s="473">
        <f t="shared" si="27"/>
        <v>0</v>
      </c>
      <c r="J71" s="473"/>
      <c r="K71" s="485"/>
      <c r="L71" s="476">
        <f t="shared" si="28"/>
        <v>0</v>
      </c>
      <c r="M71" s="485"/>
      <c r="N71" s="476">
        <f t="shared" si="29"/>
        <v>0</v>
      </c>
      <c r="O71" s="476">
        <f t="shared" si="30"/>
        <v>0</v>
      </c>
      <c r="P71" s="241"/>
    </row>
    <row r="72" spans="2:16" ht="13" thickBot="1">
      <c r="B72" s="160" t="str">
        <f t="shared" si="4"/>
        <v/>
      </c>
      <c r="C72" s="487">
        <f>IF(D11="","-",+C71+1)</f>
        <v>2061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6"/>
        <v>0</v>
      </c>
      <c r="G72" s="488">
        <f t="shared" si="24"/>
        <v>0</v>
      </c>
      <c r="H72" s="488">
        <f t="shared" si="25"/>
        <v>0</v>
      </c>
      <c r="I72" s="491">
        <f t="shared" si="27"/>
        <v>0</v>
      </c>
      <c r="J72" s="473"/>
      <c r="K72" s="492"/>
      <c r="L72" s="493">
        <f t="shared" si="28"/>
        <v>0</v>
      </c>
      <c r="M72" s="492"/>
      <c r="N72" s="493">
        <f t="shared" si="29"/>
        <v>0</v>
      </c>
      <c r="O72" s="493">
        <f t="shared" si="30"/>
        <v>0</v>
      </c>
      <c r="P72" s="241"/>
    </row>
    <row r="73" spans="2:16" ht="12.5">
      <c r="C73" s="345" t="s">
        <v>77</v>
      </c>
      <c r="D73" s="346"/>
      <c r="E73" s="346">
        <f>SUM(E17:E72)</f>
        <v>56133</v>
      </c>
      <c r="F73" s="346"/>
      <c r="G73" s="346">
        <f>SUM(G17:G72)</f>
        <v>184711.8072856295</v>
      </c>
      <c r="H73" s="346">
        <f>SUM(H17:H72)</f>
        <v>184711.8072856295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8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5686.7962355511117</v>
      </c>
      <c r="N87" s="506">
        <f>IF(J92&lt;D11,0,VLOOKUP(J92,C17:O72,11))</f>
        <v>5686.7962355511117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5652.1701297565614</v>
      </c>
      <c r="N88" s="510">
        <f>IF(J92&lt;D11,0,VLOOKUP(J92,C99:P154,7))</f>
        <v>5652.1701297565614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Weleetka &amp; Okmulgee Wavetrap replacement 81-805*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-34.626105794550313</v>
      </c>
      <c r="N89" s="515">
        <f>+N88-N87</f>
        <v>-34.626105794550313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TP2005046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56133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2006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3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1477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2006</v>
      </c>
      <c r="D99" s="471">
        <v>0</v>
      </c>
      <c r="E99" s="478">
        <v>0</v>
      </c>
      <c r="F99" s="477">
        <v>56133</v>
      </c>
      <c r="G99" s="535">
        <v>28067</v>
      </c>
      <c r="H99" s="536">
        <v>0</v>
      </c>
      <c r="I99" s="537">
        <v>0</v>
      </c>
      <c r="J99" s="476">
        <f t="shared" ref="J99:J130" si="31">+I99-H99</f>
        <v>0</v>
      </c>
      <c r="K99" s="476"/>
      <c r="L99" s="552">
        <v>0</v>
      </c>
      <c r="M99" s="475">
        <f t="shared" ref="M99:M130" si="32">IF(L99&lt;&gt;0,+H99-L99,0)</f>
        <v>0</v>
      </c>
      <c r="N99" s="552">
        <v>0</v>
      </c>
      <c r="O99" s="475">
        <f t="shared" ref="O99:O130" si="33">IF(N99&lt;&gt;0,+I99-N99,0)</f>
        <v>0</v>
      </c>
      <c r="P99" s="475">
        <f t="shared" ref="P99:P130" si="34">+O99-M99</f>
        <v>0</v>
      </c>
    </row>
    <row r="100" spans="1:16" ht="12.5">
      <c r="B100" s="160" t="str">
        <f>IF(D100=F99,"","IU")</f>
        <v/>
      </c>
      <c r="C100" s="470">
        <f>IF(D93="","-",+C99+1)</f>
        <v>2007</v>
      </c>
      <c r="D100" s="471">
        <v>56133</v>
      </c>
      <c r="E100" s="478">
        <v>1059</v>
      </c>
      <c r="F100" s="477">
        <v>55074</v>
      </c>
      <c r="G100" s="477">
        <v>55603</v>
      </c>
      <c r="H100" s="478">
        <v>0</v>
      </c>
      <c r="I100" s="479">
        <v>0</v>
      </c>
      <c r="J100" s="476">
        <f t="shared" si="31"/>
        <v>0</v>
      </c>
      <c r="K100" s="476"/>
      <c r="L100" s="474">
        <v>0</v>
      </c>
      <c r="M100" s="476">
        <f t="shared" si="32"/>
        <v>0</v>
      </c>
      <c r="N100" s="474">
        <v>0</v>
      </c>
      <c r="O100" s="476">
        <f t="shared" si="33"/>
        <v>0</v>
      </c>
      <c r="P100" s="476">
        <f t="shared" si="34"/>
        <v>0</v>
      </c>
    </row>
    <row r="101" spans="1:16" ht="12.5">
      <c r="B101" s="160" t="str">
        <f t="shared" ref="B101:B154" si="35">IF(D101=F100,"","IU")</f>
        <v/>
      </c>
      <c r="C101" s="470">
        <f>IF(D93="","-",+C100+1)</f>
        <v>2008</v>
      </c>
      <c r="D101" s="471">
        <v>55074</v>
      </c>
      <c r="E101" s="478">
        <v>1059</v>
      </c>
      <c r="F101" s="477">
        <v>54015</v>
      </c>
      <c r="G101" s="477">
        <v>54544</v>
      </c>
      <c r="H101" s="478">
        <v>9723</v>
      </c>
      <c r="I101" s="479">
        <v>9723</v>
      </c>
      <c r="J101" s="476">
        <f t="shared" si="31"/>
        <v>0</v>
      </c>
      <c r="K101" s="476"/>
      <c r="L101" s="474">
        <v>9723</v>
      </c>
      <c r="M101" s="476">
        <f t="shared" si="32"/>
        <v>0</v>
      </c>
      <c r="N101" s="474">
        <v>9723</v>
      </c>
      <c r="O101" s="476">
        <f t="shared" si="33"/>
        <v>0</v>
      </c>
      <c r="P101" s="476">
        <f t="shared" si="34"/>
        <v>0</v>
      </c>
    </row>
    <row r="102" spans="1:16" ht="12.5">
      <c r="B102" s="160" t="str">
        <f t="shared" si="35"/>
        <v/>
      </c>
      <c r="C102" s="470">
        <f>IF(D93="","-",+C101+1)</f>
        <v>2009</v>
      </c>
      <c r="D102" s="471">
        <v>54015</v>
      </c>
      <c r="E102" s="478">
        <v>1002</v>
      </c>
      <c r="F102" s="477">
        <v>53013</v>
      </c>
      <c r="G102" s="477">
        <v>53514</v>
      </c>
      <c r="H102" s="478">
        <v>8826.1899911613018</v>
      </c>
      <c r="I102" s="479">
        <v>8826.1899911613018</v>
      </c>
      <c r="J102" s="476">
        <f t="shared" si="31"/>
        <v>0</v>
      </c>
      <c r="K102" s="476"/>
      <c r="L102" s="538">
        <f t="shared" ref="L102:L107" si="36">H102</f>
        <v>8826.1899911613018</v>
      </c>
      <c r="M102" s="539">
        <f t="shared" si="32"/>
        <v>0</v>
      </c>
      <c r="N102" s="538">
        <f t="shared" ref="N102:N107" si="37">I102</f>
        <v>8826.1899911613018</v>
      </c>
      <c r="O102" s="476">
        <f t="shared" si="33"/>
        <v>0</v>
      </c>
      <c r="P102" s="476">
        <f t="shared" si="34"/>
        <v>0</v>
      </c>
    </row>
    <row r="103" spans="1:16" ht="12.5">
      <c r="B103" s="160" t="str">
        <f t="shared" si="35"/>
        <v/>
      </c>
      <c r="C103" s="470">
        <f>IF(D93="","-",+C102+1)</f>
        <v>2010</v>
      </c>
      <c r="D103" s="471">
        <v>53013</v>
      </c>
      <c r="E103" s="478">
        <v>1101</v>
      </c>
      <c r="F103" s="477">
        <v>51912</v>
      </c>
      <c r="G103" s="477">
        <v>52462.5</v>
      </c>
      <c r="H103" s="478">
        <v>9537.7685710444202</v>
      </c>
      <c r="I103" s="479">
        <v>9537.7685710444202</v>
      </c>
      <c r="J103" s="476">
        <f t="shared" si="31"/>
        <v>0</v>
      </c>
      <c r="K103" s="476"/>
      <c r="L103" s="538">
        <f t="shared" si="36"/>
        <v>9537.7685710444202</v>
      </c>
      <c r="M103" s="539">
        <f t="shared" si="32"/>
        <v>0</v>
      </c>
      <c r="N103" s="538">
        <f t="shared" si="37"/>
        <v>9537.7685710444202</v>
      </c>
      <c r="O103" s="476">
        <f t="shared" si="33"/>
        <v>0</v>
      </c>
      <c r="P103" s="476">
        <f t="shared" si="34"/>
        <v>0</v>
      </c>
    </row>
    <row r="104" spans="1:16" ht="12.5">
      <c r="B104" s="160" t="str">
        <f t="shared" si="35"/>
        <v/>
      </c>
      <c r="C104" s="470">
        <f>IF(D93="","-",+C103+1)</f>
        <v>2011</v>
      </c>
      <c r="D104" s="471">
        <v>51912</v>
      </c>
      <c r="E104" s="478">
        <v>1079</v>
      </c>
      <c r="F104" s="477">
        <v>50833</v>
      </c>
      <c r="G104" s="477">
        <v>51372.5</v>
      </c>
      <c r="H104" s="478">
        <v>8261.5658402233203</v>
      </c>
      <c r="I104" s="479">
        <v>8261.5658402233203</v>
      </c>
      <c r="J104" s="476">
        <f t="shared" si="31"/>
        <v>0</v>
      </c>
      <c r="K104" s="476"/>
      <c r="L104" s="538">
        <f t="shared" si="36"/>
        <v>8261.5658402233203</v>
      </c>
      <c r="M104" s="539">
        <f t="shared" si="32"/>
        <v>0</v>
      </c>
      <c r="N104" s="538">
        <f t="shared" si="37"/>
        <v>8261.5658402233203</v>
      </c>
      <c r="O104" s="476">
        <f t="shared" si="33"/>
        <v>0</v>
      </c>
      <c r="P104" s="476">
        <f t="shared" si="34"/>
        <v>0</v>
      </c>
    </row>
    <row r="105" spans="1:16" ht="12.5">
      <c r="B105" s="160" t="str">
        <f t="shared" si="35"/>
        <v/>
      </c>
      <c r="C105" s="470">
        <f>IF(D93="","-",+C104+1)</f>
        <v>2012</v>
      </c>
      <c r="D105" s="471">
        <v>50833</v>
      </c>
      <c r="E105" s="478">
        <v>1079</v>
      </c>
      <c r="F105" s="477">
        <v>49754</v>
      </c>
      <c r="G105" s="477">
        <v>50293.5</v>
      </c>
      <c r="H105" s="478">
        <v>8313.995673781943</v>
      </c>
      <c r="I105" s="479">
        <v>8313.995673781943</v>
      </c>
      <c r="J105" s="476">
        <v>0</v>
      </c>
      <c r="K105" s="476"/>
      <c r="L105" s="538">
        <f t="shared" si="36"/>
        <v>8313.995673781943</v>
      </c>
      <c r="M105" s="539">
        <f t="shared" ref="M105:M110" si="38">IF(L105&lt;&gt;0,+H105-L105,0)</f>
        <v>0</v>
      </c>
      <c r="N105" s="538">
        <f t="shared" si="37"/>
        <v>8313.995673781943</v>
      </c>
      <c r="O105" s="476">
        <f t="shared" ref="O105:O110" si="39">IF(N105&lt;&gt;0,+I105-N105,0)</f>
        <v>0</v>
      </c>
      <c r="P105" s="476">
        <f t="shared" ref="P105:P110" si="40">+O105-M105</f>
        <v>0</v>
      </c>
    </row>
    <row r="106" spans="1:16" ht="12.5">
      <c r="B106" s="160" t="str">
        <f t="shared" si="35"/>
        <v/>
      </c>
      <c r="C106" s="470">
        <f>IF(D93="","-",+C105+1)</f>
        <v>2013</v>
      </c>
      <c r="D106" s="471">
        <v>49754</v>
      </c>
      <c r="E106" s="478">
        <v>1079</v>
      </c>
      <c r="F106" s="477">
        <v>48675</v>
      </c>
      <c r="G106" s="477">
        <v>49214.5</v>
      </c>
      <c r="H106" s="478">
        <v>8162.9151459393179</v>
      </c>
      <c r="I106" s="479">
        <v>8162.9151459393179</v>
      </c>
      <c r="J106" s="476">
        <v>0</v>
      </c>
      <c r="K106" s="476"/>
      <c r="L106" s="538">
        <f t="shared" si="36"/>
        <v>8162.9151459393179</v>
      </c>
      <c r="M106" s="539">
        <f t="shared" si="38"/>
        <v>0</v>
      </c>
      <c r="N106" s="538">
        <f t="shared" si="37"/>
        <v>8162.9151459393179</v>
      </c>
      <c r="O106" s="476">
        <f t="shared" si="39"/>
        <v>0</v>
      </c>
      <c r="P106" s="476">
        <f t="shared" si="40"/>
        <v>0</v>
      </c>
    </row>
    <row r="107" spans="1:16" ht="12.5">
      <c r="B107" s="160" t="str">
        <f t="shared" si="35"/>
        <v/>
      </c>
      <c r="C107" s="470">
        <f>IF(D93="","-",+C106+1)</f>
        <v>2014</v>
      </c>
      <c r="D107" s="471">
        <v>48675</v>
      </c>
      <c r="E107" s="478">
        <v>1079</v>
      </c>
      <c r="F107" s="477">
        <v>47596</v>
      </c>
      <c r="G107" s="477">
        <v>48135.5</v>
      </c>
      <c r="H107" s="478">
        <v>7846.6545337569178</v>
      </c>
      <c r="I107" s="479">
        <v>7846.6545337569178</v>
      </c>
      <c r="J107" s="476">
        <v>0</v>
      </c>
      <c r="K107" s="476"/>
      <c r="L107" s="538">
        <f t="shared" si="36"/>
        <v>7846.6545337569178</v>
      </c>
      <c r="M107" s="539">
        <f t="shared" si="38"/>
        <v>0</v>
      </c>
      <c r="N107" s="538">
        <f t="shared" si="37"/>
        <v>7846.6545337569178</v>
      </c>
      <c r="O107" s="476">
        <f t="shared" si="39"/>
        <v>0</v>
      </c>
      <c r="P107" s="476">
        <f t="shared" si="40"/>
        <v>0</v>
      </c>
    </row>
    <row r="108" spans="1:16" ht="12.5">
      <c r="B108" s="160" t="str">
        <f t="shared" si="35"/>
        <v/>
      </c>
      <c r="C108" s="470">
        <f>IF(D93="","-",+C107+1)</f>
        <v>2015</v>
      </c>
      <c r="D108" s="471">
        <v>47596</v>
      </c>
      <c r="E108" s="478">
        <v>1079</v>
      </c>
      <c r="F108" s="477">
        <v>46517</v>
      </c>
      <c r="G108" s="477">
        <v>47056.5</v>
      </c>
      <c r="H108" s="478">
        <v>7499.4810720950254</v>
      </c>
      <c r="I108" s="479">
        <v>7499.4810720950254</v>
      </c>
      <c r="J108" s="476">
        <f t="shared" si="31"/>
        <v>0</v>
      </c>
      <c r="K108" s="476"/>
      <c r="L108" s="538">
        <f t="shared" ref="L108:L113" si="41">H108</f>
        <v>7499.4810720950254</v>
      </c>
      <c r="M108" s="539">
        <f t="shared" si="38"/>
        <v>0</v>
      </c>
      <c r="N108" s="538">
        <f t="shared" ref="N108:N113" si="42">I108</f>
        <v>7499.4810720950254</v>
      </c>
      <c r="O108" s="476">
        <f t="shared" si="39"/>
        <v>0</v>
      </c>
      <c r="P108" s="476">
        <f t="shared" si="40"/>
        <v>0</v>
      </c>
    </row>
    <row r="109" spans="1:16" ht="12.5">
      <c r="B109" s="160" t="str">
        <f t="shared" si="35"/>
        <v/>
      </c>
      <c r="C109" s="470">
        <f>IF(D93="","-",+C108+1)</f>
        <v>2016</v>
      </c>
      <c r="D109" s="471">
        <v>46517</v>
      </c>
      <c r="E109" s="478">
        <v>1220</v>
      </c>
      <c r="F109" s="477">
        <v>45297</v>
      </c>
      <c r="G109" s="477">
        <v>45907</v>
      </c>
      <c r="H109" s="478">
        <v>7138.135283574793</v>
      </c>
      <c r="I109" s="479">
        <v>7138.135283574793</v>
      </c>
      <c r="J109" s="476">
        <f t="shared" si="31"/>
        <v>0</v>
      </c>
      <c r="K109" s="476"/>
      <c r="L109" s="538">
        <f t="shared" si="41"/>
        <v>7138.135283574793</v>
      </c>
      <c r="M109" s="539">
        <f t="shared" si="38"/>
        <v>0</v>
      </c>
      <c r="N109" s="538">
        <f t="shared" si="42"/>
        <v>7138.135283574793</v>
      </c>
      <c r="O109" s="476">
        <f t="shared" si="39"/>
        <v>0</v>
      </c>
      <c r="P109" s="476">
        <f t="shared" si="40"/>
        <v>0</v>
      </c>
    </row>
    <row r="110" spans="1:16" ht="12.5">
      <c r="B110" s="160" t="str">
        <f t="shared" si="35"/>
        <v/>
      </c>
      <c r="C110" s="470">
        <f>IF(D93="","-",+C109+1)</f>
        <v>2017</v>
      </c>
      <c r="D110" s="471">
        <v>45297</v>
      </c>
      <c r="E110" s="478">
        <v>1220</v>
      </c>
      <c r="F110" s="477">
        <v>44077</v>
      </c>
      <c r="G110" s="477">
        <v>44687</v>
      </c>
      <c r="H110" s="478">
        <v>6888.6586283105316</v>
      </c>
      <c r="I110" s="479">
        <v>6888.6586283105316</v>
      </c>
      <c r="J110" s="476">
        <f t="shared" si="31"/>
        <v>0</v>
      </c>
      <c r="K110" s="476"/>
      <c r="L110" s="538">
        <f t="shared" si="41"/>
        <v>6888.6586283105316</v>
      </c>
      <c r="M110" s="539">
        <f t="shared" si="38"/>
        <v>0</v>
      </c>
      <c r="N110" s="538">
        <f t="shared" si="42"/>
        <v>6888.6586283105316</v>
      </c>
      <c r="O110" s="476">
        <f t="shared" si="39"/>
        <v>0</v>
      </c>
      <c r="P110" s="476">
        <f t="shared" si="40"/>
        <v>0</v>
      </c>
    </row>
    <row r="111" spans="1:16" ht="12.5">
      <c r="B111" s="160" t="str">
        <f t="shared" si="35"/>
        <v/>
      </c>
      <c r="C111" s="470">
        <f>IF(D93="","-",+C110+1)</f>
        <v>2018</v>
      </c>
      <c r="D111" s="471">
        <v>44077</v>
      </c>
      <c r="E111" s="478">
        <v>1305</v>
      </c>
      <c r="F111" s="477">
        <v>42772</v>
      </c>
      <c r="G111" s="477">
        <v>43424.5</v>
      </c>
      <c r="H111" s="478">
        <v>5766.2406216754998</v>
      </c>
      <c r="I111" s="479">
        <v>5766.2406216754998</v>
      </c>
      <c r="J111" s="476">
        <f t="shared" si="31"/>
        <v>0</v>
      </c>
      <c r="K111" s="476"/>
      <c r="L111" s="538">
        <f t="shared" si="41"/>
        <v>5766.2406216754998</v>
      </c>
      <c r="M111" s="539">
        <f t="shared" ref="M111" si="43">IF(L111&lt;&gt;0,+H111-L111,0)</f>
        <v>0</v>
      </c>
      <c r="N111" s="538">
        <f t="shared" si="42"/>
        <v>5766.2406216754998</v>
      </c>
      <c r="O111" s="476">
        <f t="shared" ref="O111" si="44">IF(N111&lt;&gt;0,+I111-N111,0)</f>
        <v>0</v>
      </c>
      <c r="P111" s="476">
        <f t="shared" ref="P111" si="45">+O111-M111</f>
        <v>0</v>
      </c>
    </row>
    <row r="112" spans="1:16" ht="12.5">
      <c r="B112" s="160" t="str">
        <f t="shared" si="35"/>
        <v/>
      </c>
      <c r="C112" s="470">
        <f>IF(D93="","-",+C111+1)</f>
        <v>2019</v>
      </c>
      <c r="D112" s="471">
        <v>42772</v>
      </c>
      <c r="E112" s="478">
        <v>1369</v>
      </c>
      <c r="F112" s="477">
        <v>41403</v>
      </c>
      <c r="G112" s="477">
        <v>42087.5</v>
      </c>
      <c r="H112" s="478">
        <v>5708.8115726685282</v>
      </c>
      <c r="I112" s="479">
        <v>5708.8115726685282</v>
      </c>
      <c r="J112" s="476">
        <f t="shared" si="31"/>
        <v>0</v>
      </c>
      <c r="K112" s="476"/>
      <c r="L112" s="538">
        <f t="shared" si="41"/>
        <v>5708.8115726685282</v>
      </c>
      <c r="M112" s="539">
        <f t="shared" ref="M112" si="46">IF(L112&lt;&gt;0,+H112-L112,0)</f>
        <v>0</v>
      </c>
      <c r="N112" s="538">
        <f t="shared" si="42"/>
        <v>5708.8115726685282</v>
      </c>
      <c r="O112" s="476">
        <f t="shared" si="33"/>
        <v>0</v>
      </c>
      <c r="P112" s="476">
        <f t="shared" si="34"/>
        <v>0</v>
      </c>
    </row>
    <row r="113" spans="2:16" ht="12.5">
      <c r="B113" s="160" t="str">
        <f t="shared" si="35"/>
        <v/>
      </c>
      <c r="C113" s="470">
        <f>IF(D93="","-",+C112+1)</f>
        <v>2020</v>
      </c>
      <c r="D113" s="471">
        <v>41403</v>
      </c>
      <c r="E113" s="478">
        <v>1305</v>
      </c>
      <c r="F113" s="477">
        <v>40098</v>
      </c>
      <c r="G113" s="477">
        <v>40750.5</v>
      </c>
      <c r="H113" s="478">
        <v>6003.4206157380368</v>
      </c>
      <c r="I113" s="479">
        <v>6003.4206157380368</v>
      </c>
      <c r="J113" s="476">
        <f t="shared" si="31"/>
        <v>0</v>
      </c>
      <c r="K113" s="476"/>
      <c r="L113" s="538">
        <f t="shared" si="41"/>
        <v>6003.4206157380368</v>
      </c>
      <c r="M113" s="539">
        <f t="shared" ref="M113" si="47">IF(L113&lt;&gt;0,+H113-L113,0)</f>
        <v>0</v>
      </c>
      <c r="N113" s="538">
        <f t="shared" si="42"/>
        <v>6003.4206157380368</v>
      </c>
      <c r="O113" s="476">
        <f t="shared" si="33"/>
        <v>0</v>
      </c>
      <c r="P113" s="476">
        <f t="shared" si="34"/>
        <v>0</v>
      </c>
    </row>
    <row r="114" spans="2:16" ht="12.5">
      <c r="B114" s="160" t="str">
        <f t="shared" si="35"/>
        <v/>
      </c>
      <c r="C114" s="470">
        <f>IF(D93="","-",+C113+1)</f>
        <v>2021</v>
      </c>
      <c r="D114" s="471">
        <v>40098</v>
      </c>
      <c r="E114" s="478">
        <v>1369</v>
      </c>
      <c r="F114" s="477">
        <v>38729</v>
      </c>
      <c r="G114" s="477">
        <v>39413.5</v>
      </c>
      <c r="H114" s="478">
        <v>5853.9722481455983</v>
      </c>
      <c r="I114" s="479">
        <v>5853.9722481455983</v>
      </c>
      <c r="J114" s="476">
        <f t="shared" si="31"/>
        <v>0</v>
      </c>
      <c r="K114" s="476"/>
      <c r="L114" s="538">
        <f t="shared" ref="L114" si="48">H114</f>
        <v>5853.9722481455983</v>
      </c>
      <c r="M114" s="539">
        <f t="shared" ref="M114" si="49">IF(L114&lt;&gt;0,+H114-L114,0)</f>
        <v>0</v>
      </c>
      <c r="N114" s="538">
        <f t="shared" ref="N114" si="50">I114</f>
        <v>5853.9722481455983</v>
      </c>
      <c r="O114" s="476">
        <f t="shared" si="33"/>
        <v>0</v>
      </c>
      <c r="P114" s="476">
        <f t="shared" si="34"/>
        <v>0</v>
      </c>
    </row>
    <row r="115" spans="2:16" ht="12.5">
      <c r="B115" s="160" t="str">
        <f t="shared" si="35"/>
        <v/>
      </c>
      <c r="C115" s="470">
        <f>IF(D93="","-",+C114+1)</f>
        <v>2022</v>
      </c>
      <c r="D115" s="471">
        <v>38729</v>
      </c>
      <c r="E115" s="478">
        <v>1439</v>
      </c>
      <c r="F115" s="477">
        <v>37290</v>
      </c>
      <c r="G115" s="477">
        <v>38009.5</v>
      </c>
      <c r="H115" s="478">
        <v>5626.9875444770105</v>
      </c>
      <c r="I115" s="479">
        <v>5626.9875444770105</v>
      </c>
      <c r="J115" s="476">
        <f t="shared" si="31"/>
        <v>0</v>
      </c>
      <c r="K115" s="476"/>
      <c r="L115" s="538">
        <f t="shared" ref="L115" si="51">H115</f>
        <v>5626.9875444770105</v>
      </c>
      <c r="M115" s="539">
        <f t="shared" ref="M115" si="52">IF(L115&lt;&gt;0,+H115-L115,0)</f>
        <v>0</v>
      </c>
      <c r="N115" s="538">
        <f t="shared" ref="N115" si="53">I115</f>
        <v>5626.9875444770105</v>
      </c>
      <c r="O115" s="476">
        <f t="shared" ref="O115" si="54">IF(N115&lt;&gt;0,+I115-N115,0)</f>
        <v>0</v>
      </c>
      <c r="P115" s="476">
        <f t="shared" ref="P115" si="55">+O115-M115</f>
        <v>0</v>
      </c>
    </row>
    <row r="116" spans="2:16" ht="12.5">
      <c r="B116" s="160" t="str">
        <f t="shared" si="35"/>
        <v/>
      </c>
      <c r="C116" s="470">
        <f>IF(D93="","-",+C115+1)</f>
        <v>2023</v>
      </c>
      <c r="D116" s="345">
        <f>IF(F115+SUM(E$99:E115)=D$92,F115,D$92-SUM(E$99:E115))</f>
        <v>37290</v>
      </c>
      <c r="E116" s="484">
        <f>IF(+J96&lt;F115,J96,D116)</f>
        <v>1477</v>
      </c>
      <c r="F116" s="483">
        <f t="shared" ref="F116:F130" si="56">+D116-E116</f>
        <v>35813</v>
      </c>
      <c r="G116" s="483">
        <f t="shared" ref="G116:G130" si="57">+(F116+D116)/2</f>
        <v>36551.5</v>
      </c>
      <c r="H116" s="484">
        <f t="shared" ref="H116:H153" si="58">(D116+F116)/2*J$94+E116</f>
        <v>5652.1701297565614</v>
      </c>
      <c r="I116" s="540">
        <f t="shared" ref="I116:I153" si="59">+J$95*G116+E116</f>
        <v>5652.1701297565614</v>
      </c>
      <c r="J116" s="476">
        <f t="shared" si="31"/>
        <v>0</v>
      </c>
      <c r="K116" s="476"/>
      <c r="L116" s="485"/>
      <c r="M116" s="476">
        <f t="shared" si="32"/>
        <v>0</v>
      </c>
      <c r="N116" s="485"/>
      <c r="O116" s="476">
        <f t="shared" si="33"/>
        <v>0</v>
      </c>
      <c r="P116" s="476">
        <f t="shared" si="34"/>
        <v>0</v>
      </c>
    </row>
    <row r="117" spans="2:16" ht="12.5">
      <c r="B117" s="160" t="str">
        <f t="shared" si="35"/>
        <v/>
      </c>
      <c r="C117" s="470">
        <f>IF(D93="","-",+C116+1)</f>
        <v>2024</v>
      </c>
      <c r="D117" s="345">
        <f>IF(F116+SUM(E$99:E116)=D$92,F116,D$92-SUM(E$99:E116))</f>
        <v>35813</v>
      </c>
      <c r="E117" s="484">
        <f>IF(+J96&lt;F116,J96,D117)</f>
        <v>1477</v>
      </c>
      <c r="F117" s="483">
        <f t="shared" si="56"/>
        <v>34336</v>
      </c>
      <c r="G117" s="483">
        <f t="shared" si="57"/>
        <v>35074.5</v>
      </c>
      <c r="H117" s="484">
        <f t="shared" si="58"/>
        <v>5483.4567723936507</v>
      </c>
      <c r="I117" s="540">
        <f t="shared" si="59"/>
        <v>5483.4567723936507</v>
      </c>
      <c r="J117" s="476">
        <f t="shared" si="31"/>
        <v>0</v>
      </c>
      <c r="K117" s="476"/>
      <c r="L117" s="485"/>
      <c r="M117" s="476">
        <f t="shared" si="32"/>
        <v>0</v>
      </c>
      <c r="N117" s="485"/>
      <c r="O117" s="476">
        <f t="shared" si="33"/>
        <v>0</v>
      </c>
      <c r="P117" s="476">
        <f t="shared" si="34"/>
        <v>0</v>
      </c>
    </row>
    <row r="118" spans="2:16" ht="12.5">
      <c r="B118" s="160" t="str">
        <f t="shared" si="35"/>
        <v/>
      </c>
      <c r="C118" s="470">
        <f>IF(D93="","-",+C117+1)</f>
        <v>2025</v>
      </c>
      <c r="D118" s="345">
        <f>IF(F117+SUM(E$99:E117)=D$92,F117,D$92-SUM(E$99:E117))</f>
        <v>34336</v>
      </c>
      <c r="E118" s="484">
        <f>IF(+J96&lt;F117,J96,D118)</f>
        <v>1477</v>
      </c>
      <c r="F118" s="483">
        <f t="shared" si="56"/>
        <v>32859</v>
      </c>
      <c r="G118" s="483">
        <f t="shared" si="57"/>
        <v>33597.5</v>
      </c>
      <c r="H118" s="484">
        <f t="shared" si="58"/>
        <v>5314.743415030739</v>
      </c>
      <c r="I118" s="540">
        <f t="shared" si="59"/>
        <v>5314.743415030739</v>
      </c>
      <c r="J118" s="476">
        <f t="shared" si="31"/>
        <v>0</v>
      </c>
      <c r="K118" s="476"/>
      <c r="L118" s="485"/>
      <c r="M118" s="476">
        <f t="shared" si="32"/>
        <v>0</v>
      </c>
      <c r="N118" s="485"/>
      <c r="O118" s="476">
        <f t="shared" si="33"/>
        <v>0</v>
      </c>
      <c r="P118" s="476">
        <f t="shared" si="34"/>
        <v>0</v>
      </c>
    </row>
    <row r="119" spans="2:16" ht="12.5">
      <c r="B119" s="160" t="str">
        <f t="shared" si="35"/>
        <v/>
      </c>
      <c r="C119" s="470">
        <f>IF(D93="","-",+C118+1)</f>
        <v>2026</v>
      </c>
      <c r="D119" s="345">
        <f>IF(F118+SUM(E$99:E118)=D$92,F118,D$92-SUM(E$99:E118))</f>
        <v>32859</v>
      </c>
      <c r="E119" s="484">
        <f>IF(+J96&lt;F118,J96,D119)</f>
        <v>1477</v>
      </c>
      <c r="F119" s="483">
        <f t="shared" si="56"/>
        <v>31382</v>
      </c>
      <c r="G119" s="483">
        <f t="shared" si="57"/>
        <v>32120.5</v>
      </c>
      <c r="H119" s="484">
        <f t="shared" si="58"/>
        <v>5146.0300576678283</v>
      </c>
      <c r="I119" s="540">
        <f t="shared" si="59"/>
        <v>5146.0300576678283</v>
      </c>
      <c r="J119" s="476">
        <f t="shared" si="31"/>
        <v>0</v>
      </c>
      <c r="K119" s="476"/>
      <c r="L119" s="485"/>
      <c r="M119" s="476">
        <f t="shared" si="32"/>
        <v>0</v>
      </c>
      <c r="N119" s="485"/>
      <c r="O119" s="476">
        <f t="shared" si="33"/>
        <v>0</v>
      </c>
      <c r="P119" s="476">
        <f t="shared" si="34"/>
        <v>0</v>
      </c>
    </row>
    <row r="120" spans="2:16" ht="12.5">
      <c r="B120" s="160" t="str">
        <f t="shared" si="35"/>
        <v/>
      </c>
      <c r="C120" s="470">
        <f>IF(D93="","-",+C119+1)</f>
        <v>2027</v>
      </c>
      <c r="D120" s="345">
        <f>IF(F119+SUM(E$99:E119)=D$92,F119,D$92-SUM(E$99:E119))</f>
        <v>31382</v>
      </c>
      <c r="E120" s="484">
        <f>IF(+J96&lt;F119,J96,D120)</f>
        <v>1477</v>
      </c>
      <c r="F120" s="483">
        <f t="shared" si="56"/>
        <v>29905</v>
      </c>
      <c r="G120" s="483">
        <f t="shared" si="57"/>
        <v>30643.5</v>
      </c>
      <c r="H120" s="484">
        <f t="shared" si="58"/>
        <v>4977.3167003049166</v>
      </c>
      <c r="I120" s="540">
        <f t="shared" si="59"/>
        <v>4977.3167003049166</v>
      </c>
      <c r="J120" s="476">
        <f t="shared" si="31"/>
        <v>0</v>
      </c>
      <c r="K120" s="476"/>
      <c r="L120" s="485"/>
      <c r="M120" s="476">
        <f t="shared" si="32"/>
        <v>0</v>
      </c>
      <c r="N120" s="485"/>
      <c r="O120" s="476">
        <f t="shared" si="33"/>
        <v>0</v>
      </c>
      <c r="P120" s="476">
        <f t="shared" si="34"/>
        <v>0</v>
      </c>
    </row>
    <row r="121" spans="2:16" ht="12.5">
      <c r="B121" s="160" t="str">
        <f t="shared" si="35"/>
        <v/>
      </c>
      <c r="C121" s="470">
        <f>IF(D93="","-",+C120+1)</f>
        <v>2028</v>
      </c>
      <c r="D121" s="345">
        <f>IF(F120+SUM(E$99:E120)=D$92,F120,D$92-SUM(E$99:E120))</f>
        <v>29905</v>
      </c>
      <c r="E121" s="484">
        <f>IF(+J96&lt;F120,J96,D121)</f>
        <v>1477</v>
      </c>
      <c r="F121" s="483">
        <f t="shared" si="56"/>
        <v>28428</v>
      </c>
      <c r="G121" s="483">
        <f t="shared" si="57"/>
        <v>29166.5</v>
      </c>
      <c r="H121" s="484">
        <f t="shared" si="58"/>
        <v>4808.6033429420058</v>
      </c>
      <c r="I121" s="540">
        <f t="shared" si="59"/>
        <v>4808.6033429420058</v>
      </c>
      <c r="J121" s="476">
        <f t="shared" si="31"/>
        <v>0</v>
      </c>
      <c r="K121" s="476"/>
      <c r="L121" s="485"/>
      <c r="M121" s="476">
        <f t="shared" si="32"/>
        <v>0</v>
      </c>
      <c r="N121" s="485"/>
      <c r="O121" s="476">
        <f t="shared" si="33"/>
        <v>0</v>
      </c>
      <c r="P121" s="476">
        <f t="shared" si="34"/>
        <v>0</v>
      </c>
    </row>
    <row r="122" spans="2:16" ht="12.5">
      <c r="B122" s="160" t="str">
        <f t="shared" si="35"/>
        <v/>
      </c>
      <c r="C122" s="470">
        <f>IF(D93="","-",+C121+1)</f>
        <v>2029</v>
      </c>
      <c r="D122" s="345">
        <f>IF(F121+SUM(E$99:E121)=D$92,F121,D$92-SUM(E$99:E121))</f>
        <v>28428</v>
      </c>
      <c r="E122" s="484">
        <f>IF(+J96&lt;F121,J96,D122)</f>
        <v>1477</v>
      </c>
      <c r="F122" s="483">
        <f t="shared" si="56"/>
        <v>26951</v>
      </c>
      <c r="G122" s="483">
        <f t="shared" si="57"/>
        <v>27689.5</v>
      </c>
      <c r="H122" s="484">
        <f t="shared" si="58"/>
        <v>4639.8899855790951</v>
      </c>
      <c r="I122" s="540">
        <f t="shared" si="59"/>
        <v>4639.8899855790951</v>
      </c>
      <c r="J122" s="476">
        <f t="shared" si="31"/>
        <v>0</v>
      </c>
      <c r="K122" s="476"/>
      <c r="L122" s="485"/>
      <c r="M122" s="476">
        <f t="shared" si="32"/>
        <v>0</v>
      </c>
      <c r="N122" s="485"/>
      <c r="O122" s="476">
        <f t="shared" si="33"/>
        <v>0</v>
      </c>
      <c r="P122" s="476">
        <f t="shared" si="34"/>
        <v>0</v>
      </c>
    </row>
    <row r="123" spans="2:16" ht="12.5">
      <c r="B123" s="160" t="str">
        <f t="shared" si="35"/>
        <v/>
      </c>
      <c r="C123" s="470">
        <f>IF(D93="","-",+C122+1)</f>
        <v>2030</v>
      </c>
      <c r="D123" s="345">
        <f>IF(F122+SUM(E$99:E122)=D$92,F122,D$92-SUM(E$99:E122))</f>
        <v>26951</v>
      </c>
      <c r="E123" s="484">
        <f>IF(+J96&lt;F122,J96,D123)</f>
        <v>1477</v>
      </c>
      <c r="F123" s="483">
        <f t="shared" si="56"/>
        <v>25474</v>
      </c>
      <c r="G123" s="483">
        <f t="shared" si="57"/>
        <v>26212.5</v>
      </c>
      <c r="H123" s="484">
        <f t="shared" si="58"/>
        <v>4471.1766282161843</v>
      </c>
      <c r="I123" s="540">
        <f t="shared" si="59"/>
        <v>4471.1766282161843</v>
      </c>
      <c r="J123" s="476">
        <f t="shared" si="31"/>
        <v>0</v>
      </c>
      <c r="K123" s="476"/>
      <c r="L123" s="485"/>
      <c r="M123" s="476">
        <f t="shared" si="32"/>
        <v>0</v>
      </c>
      <c r="N123" s="485"/>
      <c r="O123" s="476">
        <f t="shared" si="33"/>
        <v>0</v>
      </c>
      <c r="P123" s="476">
        <f t="shared" si="34"/>
        <v>0</v>
      </c>
    </row>
    <row r="124" spans="2:16" ht="12.5">
      <c r="B124" s="160" t="str">
        <f t="shared" si="35"/>
        <v/>
      </c>
      <c r="C124" s="470">
        <f>IF(D93="","-",+C123+1)</f>
        <v>2031</v>
      </c>
      <c r="D124" s="345">
        <f>IF(F123+SUM(E$99:E123)=D$92,F123,D$92-SUM(E$99:E123))</f>
        <v>25474</v>
      </c>
      <c r="E124" s="484">
        <f>IF(+J96&lt;F123,J96,D124)</f>
        <v>1477</v>
      </c>
      <c r="F124" s="483">
        <f t="shared" si="56"/>
        <v>23997</v>
      </c>
      <c r="G124" s="483">
        <f t="shared" si="57"/>
        <v>24735.5</v>
      </c>
      <c r="H124" s="484">
        <f t="shared" si="58"/>
        <v>4302.4632708532736</v>
      </c>
      <c r="I124" s="540">
        <f t="shared" si="59"/>
        <v>4302.4632708532736</v>
      </c>
      <c r="J124" s="476">
        <f t="shared" si="31"/>
        <v>0</v>
      </c>
      <c r="K124" s="476"/>
      <c r="L124" s="485"/>
      <c r="M124" s="476">
        <f t="shared" si="32"/>
        <v>0</v>
      </c>
      <c r="N124" s="485"/>
      <c r="O124" s="476">
        <f t="shared" si="33"/>
        <v>0</v>
      </c>
      <c r="P124" s="476">
        <f t="shared" si="34"/>
        <v>0</v>
      </c>
    </row>
    <row r="125" spans="2:16" ht="12.5">
      <c r="B125" s="160" t="str">
        <f t="shared" si="35"/>
        <v/>
      </c>
      <c r="C125" s="470">
        <f>IF(D93="","-",+C124+1)</f>
        <v>2032</v>
      </c>
      <c r="D125" s="345">
        <f>IF(F124+SUM(E$99:E124)=D$92,F124,D$92-SUM(E$99:E124))</f>
        <v>23997</v>
      </c>
      <c r="E125" s="484">
        <f>IF(+J96&lt;F124,J96,D125)</f>
        <v>1477</v>
      </c>
      <c r="F125" s="483">
        <f t="shared" si="56"/>
        <v>22520</v>
      </c>
      <c r="G125" s="483">
        <f t="shared" si="57"/>
        <v>23258.5</v>
      </c>
      <c r="H125" s="484">
        <f t="shared" si="58"/>
        <v>4133.7499134903628</v>
      </c>
      <c r="I125" s="540">
        <f t="shared" si="59"/>
        <v>4133.7499134903628</v>
      </c>
      <c r="J125" s="476">
        <f t="shared" si="31"/>
        <v>0</v>
      </c>
      <c r="K125" s="476"/>
      <c r="L125" s="485"/>
      <c r="M125" s="476">
        <f t="shared" si="32"/>
        <v>0</v>
      </c>
      <c r="N125" s="485"/>
      <c r="O125" s="476">
        <f t="shared" si="33"/>
        <v>0</v>
      </c>
      <c r="P125" s="476">
        <f t="shared" si="34"/>
        <v>0</v>
      </c>
    </row>
    <row r="126" spans="2:16" ht="12.5">
      <c r="B126" s="160" t="str">
        <f t="shared" si="35"/>
        <v/>
      </c>
      <c r="C126" s="470">
        <f>IF(D93="","-",+C125+1)</f>
        <v>2033</v>
      </c>
      <c r="D126" s="345">
        <f>IF(F125+SUM(E$99:E125)=D$92,F125,D$92-SUM(E$99:E125))</f>
        <v>22520</v>
      </c>
      <c r="E126" s="484">
        <f>IF(+J96&lt;F125,J96,D126)</f>
        <v>1477</v>
      </c>
      <c r="F126" s="483">
        <f t="shared" si="56"/>
        <v>21043</v>
      </c>
      <c r="G126" s="483">
        <f t="shared" si="57"/>
        <v>21781.5</v>
      </c>
      <c r="H126" s="484">
        <f t="shared" si="58"/>
        <v>3965.0365561274511</v>
      </c>
      <c r="I126" s="540">
        <f t="shared" si="59"/>
        <v>3965.0365561274511</v>
      </c>
      <c r="J126" s="476">
        <f t="shared" si="31"/>
        <v>0</v>
      </c>
      <c r="K126" s="476"/>
      <c r="L126" s="485"/>
      <c r="M126" s="476">
        <f t="shared" si="32"/>
        <v>0</v>
      </c>
      <c r="N126" s="485"/>
      <c r="O126" s="476">
        <f t="shared" si="33"/>
        <v>0</v>
      </c>
      <c r="P126" s="476">
        <f t="shared" si="34"/>
        <v>0</v>
      </c>
    </row>
    <row r="127" spans="2:16" ht="12.5">
      <c r="B127" s="160" t="str">
        <f t="shared" si="35"/>
        <v/>
      </c>
      <c r="C127" s="470">
        <f>IF(D93="","-",+C126+1)</f>
        <v>2034</v>
      </c>
      <c r="D127" s="345">
        <f>IF(F126+SUM(E$99:E126)=D$92,F126,D$92-SUM(E$99:E126))</f>
        <v>21043</v>
      </c>
      <c r="E127" s="484">
        <f>IF(+J96&lt;F126,J96,D127)</f>
        <v>1477</v>
      </c>
      <c r="F127" s="483">
        <f t="shared" si="56"/>
        <v>19566</v>
      </c>
      <c r="G127" s="483">
        <f t="shared" si="57"/>
        <v>20304.5</v>
      </c>
      <c r="H127" s="484">
        <f t="shared" si="58"/>
        <v>3796.3231987645404</v>
      </c>
      <c r="I127" s="540">
        <f t="shared" si="59"/>
        <v>3796.3231987645404</v>
      </c>
      <c r="J127" s="476">
        <f t="shared" si="31"/>
        <v>0</v>
      </c>
      <c r="K127" s="476"/>
      <c r="L127" s="485"/>
      <c r="M127" s="476">
        <f t="shared" si="32"/>
        <v>0</v>
      </c>
      <c r="N127" s="485"/>
      <c r="O127" s="476">
        <f t="shared" si="33"/>
        <v>0</v>
      </c>
      <c r="P127" s="476">
        <f t="shared" si="34"/>
        <v>0</v>
      </c>
    </row>
    <row r="128" spans="2:16" ht="12.5">
      <c r="B128" s="160" t="str">
        <f t="shared" si="35"/>
        <v/>
      </c>
      <c r="C128" s="470">
        <f>IF(D93="","-",+C127+1)</f>
        <v>2035</v>
      </c>
      <c r="D128" s="345">
        <f>IF(F127+SUM(E$99:E127)=D$92,F127,D$92-SUM(E$99:E127))</f>
        <v>19566</v>
      </c>
      <c r="E128" s="484">
        <f>IF(+J96&lt;F127,J96,D128)</f>
        <v>1477</v>
      </c>
      <c r="F128" s="483">
        <f t="shared" si="56"/>
        <v>18089</v>
      </c>
      <c r="G128" s="483">
        <f t="shared" si="57"/>
        <v>18827.5</v>
      </c>
      <c r="H128" s="484">
        <f t="shared" si="58"/>
        <v>3627.6098414016292</v>
      </c>
      <c r="I128" s="540">
        <f t="shared" si="59"/>
        <v>3627.6098414016292</v>
      </c>
      <c r="J128" s="476">
        <f t="shared" si="31"/>
        <v>0</v>
      </c>
      <c r="K128" s="476"/>
      <c r="L128" s="485"/>
      <c r="M128" s="476">
        <f t="shared" si="32"/>
        <v>0</v>
      </c>
      <c r="N128" s="485"/>
      <c r="O128" s="476">
        <f t="shared" si="33"/>
        <v>0</v>
      </c>
      <c r="P128" s="476">
        <f t="shared" si="34"/>
        <v>0</v>
      </c>
    </row>
    <row r="129" spans="2:16" ht="12.5">
      <c r="B129" s="160" t="str">
        <f t="shared" si="35"/>
        <v/>
      </c>
      <c r="C129" s="470">
        <f>IF(D93="","-",+C128+1)</f>
        <v>2036</v>
      </c>
      <c r="D129" s="345">
        <f>IF(F128+SUM(E$99:E128)=D$92,F128,D$92-SUM(E$99:E128))</f>
        <v>18089</v>
      </c>
      <c r="E129" s="484">
        <f>IF(+J96&lt;F128,J96,D129)</f>
        <v>1477</v>
      </c>
      <c r="F129" s="483">
        <f t="shared" si="56"/>
        <v>16612</v>
      </c>
      <c r="G129" s="483">
        <f t="shared" si="57"/>
        <v>17350.5</v>
      </c>
      <c r="H129" s="484">
        <f t="shared" si="58"/>
        <v>3458.8964840387184</v>
      </c>
      <c r="I129" s="540">
        <f t="shared" si="59"/>
        <v>3458.8964840387184</v>
      </c>
      <c r="J129" s="476">
        <f t="shared" si="31"/>
        <v>0</v>
      </c>
      <c r="K129" s="476"/>
      <c r="L129" s="485"/>
      <c r="M129" s="476">
        <f t="shared" si="32"/>
        <v>0</v>
      </c>
      <c r="N129" s="485"/>
      <c r="O129" s="476">
        <f t="shared" si="33"/>
        <v>0</v>
      </c>
      <c r="P129" s="476">
        <f t="shared" si="34"/>
        <v>0</v>
      </c>
    </row>
    <row r="130" spans="2:16" ht="12.5">
      <c r="B130" s="160" t="str">
        <f t="shared" si="35"/>
        <v/>
      </c>
      <c r="C130" s="470">
        <f>IF(D93="","-",+C129+1)</f>
        <v>2037</v>
      </c>
      <c r="D130" s="345">
        <f>IF(F129+SUM(E$99:E129)=D$92,F129,D$92-SUM(E$99:E129))</f>
        <v>16612</v>
      </c>
      <c r="E130" s="484">
        <f>IF(+J96&lt;F129,J96,D130)</f>
        <v>1477</v>
      </c>
      <c r="F130" s="483">
        <f t="shared" si="56"/>
        <v>15135</v>
      </c>
      <c r="G130" s="483">
        <f t="shared" si="57"/>
        <v>15873.5</v>
      </c>
      <c r="H130" s="484">
        <f t="shared" si="58"/>
        <v>3290.1831266758072</v>
      </c>
      <c r="I130" s="540">
        <f t="shared" si="59"/>
        <v>3290.1831266758072</v>
      </c>
      <c r="J130" s="476">
        <f t="shared" si="31"/>
        <v>0</v>
      </c>
      <c r="K130" s="476"/>
      <c r="L130" s="485"/>
      <c r="M130" s="476">
        <f t="shared" si="32"/>
        <v>0</v>
      </c>
      <c r="N130" s="485"/>
      <c r="O130" s="476">
        <f t="shared" si="33"/>
        <v>0</v>
      </c>
      <c r="P130" s="476">
        <f t="shared" si="34"/>
        <v>0</v>
      </c>
    </row>
    <row r="131" spans="2:16" ht="12.5">
      <c r="B131" s="160" t="str">
        <f t="shared" si="35"/>
        <v/>
      </c>
      <c r="C131" s="470">
        <f>IF(D93="","-",+C130+1)</f>
        <v>2038</v>
      </c>
      <c r="D131" s="345">
        <f>IF(F130+SUM(E$99:E130)=D$92,F130,D$92-SUM(E$99:E130))</f>
        <v>15135</v>
      </c>
      <c r="E131" s="484">
        <f>IF(+J96&lt;F130,J96,D131)</f>
        <v>1477</v>
      </c>
      <c r="F131" s="483">
        <f t="shared" ref="F131:F154" si="60">+D131-E131</f>
        <v>13658</v>
      </c>
      <c r="G131" s="483">
        <f t="shared" ref="G131:G154" si="61">+(F131+D131)/2</f>
        <v>14396.5</v>
      </c>
      <c r="H131" s="484">
        <f t="shared" si="58"/>
        <v>3121.4697693128965</v>
      </c>
      <c r="I131" s="540">
        <f t="shared" si="59"/>
        <v>3121.4697693128965</v>
      </c>
      <c r="J131" s="476">
        <f t="shared" ref="J131:J154" si="62">+I131-H131</f>
        <v>0</v>
      </c>
      <c r="K131" s="476"/>
      <c r="L131" s="485"/>
      <c r="M131" s="476">
        <f t="shared" ref="M131:M154" si="63">IF(L131&lt;&gt;0,+H131-L131,0)</f>
        <v>0</v>
      </c>
      <c r="N131" s="485"/>
      <c r="O131" s="476">
        <f t="shared" ref="O131:O154" si="64">IF(N131&lt;&gt;0,+I131-N131,0)</f>
        <v>0</v>
      </c>
      <c r="P131" s="476">
        <f t="shared" ref="P131:P154" si="65">+O131-M131</f>
        <v>0</v>
      </c>
    </row>
    <row r="132" spans="2:16" ht="12.5">
      <c r="B132" s="160" t="str">
        <f t="shared" si="35"/>
        <v/>
      </c>
      <c r="C132" s="470">
        <f>IF(D93="","-",+C131+1)</f>
        <v>2039</v>
      </c>
      <c r="D132" s="345">
        <f>IF(F131+SUM(E$99:E131)=D$92,F131,D$92-SUM(E$99:E131))</f>
        <v>13658</v>
      </c>
      <c r="E132" s="484">
        <f>IF(+J96&lt;F131,J96,D132)</f>
        <v>1477</v>
      </c>
      <c r="F132" s="483">
        <f t="shared" si="60"/>
        <v>12181</v>
      </c>
      <c r="G132" s="483">
        <f t="shared" si="61"/>
        <v>12919.5</v>
      </c>
      <c r="H132" s="484">
        <f t="shared" si="58"/>
        <v>2952.7564119499857</v>
      </c>
      <c r="I132" s="540">
        <f t="shared" si="59"/>
        <v>2952.7564119499857</v>
      </c>
      <c r="J132" s="476">
        <f t="shared" si="62"/>
        <v>0</v>
      </c>
      <c r="K132" s="476"/>
      <c r="L132" s="485"/>
      <c r="M132" s="476">
        <f t="shared" si="63"/>
        <v>0</v>
      </c>
      <c r="N132" s="485"/>
      <c r="O132" s="476">
        <f t="shared" si="64"/>
        <v>0</v>
      </c>
      <c r="P132" s="476">
        <f t="shared" si="65"/>
        <v>0</v>
      </c>
    </row>
    <row r="133" spans="2:16" ht="12.5">
      <c r="B133" s="160" t="str">
        <f t="shared" si="35"/>
        <v/>
      </c>
      <c r="C133" s="470">
        <f>IF(D93="","-",+C132+1)</f>
        <v>2040</v>
      </c>
      <c r="D133" s="345">
        <f>IF(F132+SUM(E$99:E132)=D$92,F132,D$92-SUM(E$99:E132))</f>
        <v>12181</v>
      </c>
      <c r="E133" s="484">
        <f>IF(+J96&lt;F132,J96,D133)</f>
        <v>1477</v>
      </c>
      <c r="F133" s="483">
        <f t="shared" si="60"/>
        <v>10704</v>
      </c>
      <c r="G133" s="483">
        <f t="shared" si="61"/>
        <v>11442.5</v>
      </c>
      <c r="H133" s="484">
        <f t="shared" si="58"/>
        <v>2784.0430545870745</v>
      </c>
      <c r="I133" s="540">
        <f t="shared" si="59"/>
        <v>2784.0430545870745</v>
      </c>
      <c r="J133" s="476">
        <f t="shared" si="62"/>
        <v>0</v>
      </c>
      <c r="K133" s="476"/>
      <c r="L133" s="485"/>
      <c r="M133" s="476">
        <f t="shared" si="63"/>
        <v>0</v>
      </c>
      <c r="N133" s="485"/>
      <c r="O133" s="476">
        <f t="shared" si="64"/>
        <v>0</v>
      </c>
      <c r="P133" s="476">
        <f t="shared" si="65"/>
        <v>0</v>
      </c>
    </row>
    <row r="134" spans="2:16" ht="12.5">
      <c r="B134" s="160" t="str">
        <f t="shared" si="35"/>
        <v/>
      </c>
      <c r="C134" s="470">
        <f>IF(D93="","-",+C133+1)</f>
        <v>2041</v>
      </c>
      <c r="D134" s="345">
        <f>IF(F133+SUM(E$99:E133)=D$92,F133,D$92-SUM(E$99:E133))</f>
        <v>10704</v>
      </c>
      <c r="E134" s="484">
        <f>IF(+J96&lt;F133,J96,D134)</f>
        <v>1477</v>
      </c>
      <c r="F134" s="483">
        <f t="shared" si="60"/>
        <v>9227</v>
      </c>
      <c r="G134" s="483">
        <f t="shared" si="61"/>
        <v>9965.5</v>
      </c>
      <c r="H134" s="484">
        <f t="shared" si="58"/>
        <v>2615.3296972241633</v>
      </c>
      <c r="I134" s="540">
        <f t="shared" si="59"/>
        <v>2615.3296972241633</v>
      </c>
      <c r="J134" s="476">
        <f t="shared" si="62"/>
        <v>0</v>
      </c>
      <c r="K134" s="476"/>
      <c r="L134" s="485"/>
      <c r="M134" s="476">
        <f t="shared" si="63"/>
        <v>0</v>
      </c>
      <c r="N134" s="485"/>
      <c r="O134" s="476">
        <f t="shared" si="64"/>
        <v>0</v>
      </c>
      <c r="P134" s="476">
        <f t="shared" si="65"/>
        <v>0</v>
      </c>
    </row>
    <row r="135" spans="2:16" ht="12.5">
      <c r="B135" s="160" t="str">
        <f t="shared" si="35"/>
        <v/>
      </c>
      <c r="C135" s="470">
        <f>IF(D93="","-",+C134+1)</f>
        <v>2042</v>
      </c>
      <c r="D135" s="345">
        <f>IF(F134+SUM(E$99:E134)=D$92,F134,D$92-SUM(E$99:E134))</f>
        <v>9227</v>
      </c>
      <c r="E135" s="484">
        <f>IF(+J96&lt;F134,J96,D135)</f>
        <v>1477</v>
      </c>
      <c r="F135" s="483">
        <f t="shared" si="60"/>
        <v>7750</v>
      </c>
      <c r="G135" s="483">
        <f t="shared" si="61"/>
        <v>8488.5</v>
      </c>
      <c r="H135" s="484">
        <f t="shared" si="58"/>
        <v>2446.6163398612525</v>
      </c>
      <c r="I135" s="540">
        <f t="shared" si="59"/>
        <v>2446.6163398612525</v>
      </c>
      <c r="J135" s="476">
        <f t="shared" si="62"/>
        <v>0</v>
      </c>
      <c r="K135" s="476"/>
      <c r="L135" s="485"/>
      <c r="M135" s="476">
        <f t="shared" si="63"/>
        <v>0</v>
      </c>
      <c r="N135" s="485"/>
      <c r="O135" s="476">
        <f t="shared" si="64"/>
        <v>0</v>
      </c>
      <c r="P135" s="476">
        <f t="shared" si="65"/>
        <v>0</v>
      </c>
    </row>
    <row r="136" spans="2:16" ht="12.5">
      <c r="B136" s="160" t="str">
        <f t="shared" si="35"/>
        <v/>
      </c>
      <c r="C136" s="470">
        <f>IF(D93="","-",+C135+1)</f>
        <v>2043</v>
      </c>
      <c r="D136" s="345">
        <f>IF(F135+SUM(E$99:E135)=D$92,F135,D$92-SUM(E$99:E135))</f>
        <v>7750</v>
      </c>
      <c r="E136" s="484">
        <f>IF(+J96&lt;F135,J96,D136)</f>
        <v>1477</v>
      </c>
      <c r="F136" s="483">
        <f t="shared" si="60"/>
        <v>6273</v>
      </c>
      <c r="G136" s="483">
        <f t="shared" si="61"/>
        <v>7011.5</v>
      </c>
      <c r="H136" s="484">
        <f t="shared" si="58"/>
        <v>2277.9029824983418</v>
      </c>
      <c r="I136" s="540">
        <f t="shared" si="59"/>
        <v>2277.9029824983418</v>
      </c>
      <c r="J136" s="476">
        <f t="shared" si="62"/>
        <v>0</v>
      </c>
      <c r="K136" s="476"/>
      <c r="L136" s="485"/>
      <c r="M136" s="476">
        <f t="shared" si="63"/>
        <v>0</v>
      </c>
      <c r="N136" s="485"/>
      <c r="O136" s="476">
        <f t="shared" si="64"/>
        <v>0</v>
      </c>
      <c r="P136" s="476">
        <f t="shared" si="65"/>
        <v>0</v>
      </c>
    </row>
    <row r="137" spans="2:16" ht="12.5">
      <c r="B137" s="160" t="str">
        <f t="shared" si="35"/>
        <v/>
      </c>
      <c r="C137" s="470">
        <f>IF(D93="","-",+C136+1)</f>
        <v>2044</v>
      </c>
      <c r="D137" s="345">
        <f>IF(F136+SUM(E$99:E136)=D$92,F136,D$92-SUM(E$99:E136))</f>
        <v>6273</v>
      </c>
      <c r="E137" s="484">
        <f>IF(+J96&lt;F136,J96,D137)</f>
        <v>1477</v>
      </c>
      <c r="F137" s="483">
        <f t="shared" si="60"/>
        <v>4796</v>
      </c>
      <c r="G137" s="483">
        <f t="shared" si="61"/>
        <v>5534.5</v>
      </c>
      <c r="H137" s="484">
        <f t="shared" si="58"/>
        <v>2109.1896251354306</v>
      </c>
      <c r="I137" s="540">
        <f t="shared" si="59"/>
        <v>2109.1896251354306</v>
      </c>
      <c r="J137" s="476">
        <f t="shared" si="62"/>
        <v>0</v>
      </c>
      <c r="K137" s="476"/>
      <c r="L137" s="485"/>
      <c r="M137" s="476">
        <f t="shared" si="63"/>
        <v>0</v>
      </c>
      <c r="N137" s="485"/>
      <c r="O137" s="476">
        <f t="shared" si="64"/>
        <v>0</v>
      </c>
      <c r="P137" s="476">
        <f t="shared" si="65"/>
        <v>0</v>
      </c>
    </row>
    <row r="138" spans="2:16" ht="12.5">
      <c r="B138" s="160" t="str">
        <f t="shared" si="35"/>
        <v/>
      </c>
      <c r="C138" s="470">
        <f>IF(D93="","-",+C137+1)</f>
        <v>2045</v>
      </c>
      <c r="D138" s="345">
        <f>IF(F137+SUM(E$99:E137)=D$92,F137,D$92-SUM(E$99:E137))</f>
        <v>4796</v>
      </c>
      <c r="E138" s="484">
        <f>IF(+J96&lt;F137,J96,D138)</f>
        <v>1477</v>
      </c>
      <c r="F138" s="483">
        <f t="shared" si="60"/>
        <v>3319</v>
      </c>
      <c r="G138" s="483">
        <f t="shared" si="61"/>
        <v>4057.5</v>
      </c>
      <c r="H138" s="484">
        <f t="shared" si="58"/>
        <v>1940.4762677725196</v>
      </c>
      <c r="I138" s="540">
        <f t="shared" si="59"/>
        <v>1940.4762677725196</v>
      </c>
      <c r="J138" s="476">
        <f t="shared" si="62"/>
        <v>0</v>
      </c>
      <c r="K138" s="476"/>
      <c r="L138" s="485"/>
      <c r="M138" s="476">
        <f t="shared" si="63"/>
        <v>0</v>
      </c>
      <c r="N138" s="485"/>
      <c r="O138" s="476">
        <f t="shared" si="64"/>
        <v>0</v>
      </c>
      <c r="P138" s="476">
        <f t="shared" si="65"/>
        <v>0</v>
      </c>
    </row>
    <row r="139" spans="2:16" ht="12.5">
      <c r="B139" s="160" t="str">
        <f t="shared" si="35"/>
        <v/>
      </c>
      <c r="C139" s="470">
        <f>IF(D93="","-",+C138+1)</f>
        <v>2046</v>
      </c>
      <c r="D139" s="345">
        <f>IF(F138+SUM(E$99:E138)=D$92,F138,D$92-SUM(E$99:E138))</f>
        <v>3319</v>
      </c>
      <c r="E139" s="484">
        <f>IF(+J96&lt;F138,J96,D139)</f>
        <v>1477</v>
      </c>
      <c r="F139" s="483">
        <f t="shared" si="60"/>
        <v>1842</v>
      </c>
      <c r="G139" s="483">
        <f t="shared" si="61"/>
        <v>2580.5</v>
      </c>
      <c r="H139" s="484">
        <f t="shared" si="58"/>
        <v>1771.7629104096086</v>
      </c>
      <c r="I139" s="540">
        <f t="shared" si="59"/>
        <v>1771.7629104096086</v>
      </c>
      <c r="J139" s="476">
        <f t="shared" si="62"/>
        <v>0</v>
      </c>
      <c r="K139" s="476"/>
      <c r="L139" s="485"/>
      <c r="M139" s="476">
        <f t="shared" si="63"/>
        <v>0</v>
      </c>
      <c r="N139" s="485"/>
      <c r="O139" s="476">
        <f t="shared" si="64"/>
        <v>0</v>
      </c>
      <c r="P139" s="476">
        <f t="shared" si="65"/>
        <v>0</v>
      </c>
    </row>
    <row r="140" spans="2:16" ht="12.5">
      <c r="B140" s="160" t="str">
        <f t="shared" si="35"/>
        <v/>
      </c>
      <c r="C140" s="470">
        <f>IF(D93="","-",+C139+1)</f>
        <v>2047</v>
      </c>
      <c r="D140" s="345">
        <f>IF(F139+SUM(E$99:E139)=D$92,F139,D$92-SUM(E$99:E139))</f>
        <v>1842</v>
      </c>
      <c r="E140" s="484">
        <f>IF(+J96&lt;F139,J96,D140)</f>
        <v>1477</v>
      </c>
      <c r="F140" s="483">
        <f t="shared" si="60"/>
        <v>365</v>
      </c>
      <c r="G140" s="483">
        <f t="shared" si="61"/>
        <v>1103.5</v>
      </c>
      <c r="H140" s="484">
        <f t="shared" si="58"/>
        <v>1603.0495530466976</v>
      </c>
      <c r="I140" s="540">
        <f t="shared" si="59"/>
        <v>1603.0495530466976</v>
      </c>
      <c r="J140" s="476">
        <f t="shared" si="62"/>
        <v>0</v>
      </c>
      <c r="K140" s="476"/>
      <c r="L140" s="485"/>
      <c r="M140" s="476">
        <f t="shared" si="63"/>
        <v>0</v>
      </c>
      <c r="N140" s="485"/>
      <c r="O140" s="476">
        <f t="shared" si="64"/>
        <v>0</v>
      </c>
      <c r="P140" s="476">
        <f t="shared" si="65"/>
        <v>0</v>
      </c>
    </row>
    <row r="141" spans="2:16" ht="12.5">
      <c r="B141" s="160" t="str">
        <f t="shared" si="35"/>
        <v/>
      </c>
      <c r="C141" s="470">
        <f>IF(D93="","-",+C140+1)</f>
        <v>2048</v>
      </c>
      <c r="D141" s="345">
        <f>IF(F140+SUM(E$99:E140)=D$92,F140,D$92-SUM(E$99:E140))</f>
        <v>365</v>
      </c>
      <c r="E141" s="484">
        <f>IF(+J96&lt;F140,J96,D141)</f>
        <v>365</v>
      </c>
      <c r="F141" s="483">
        <f t="shared" si="60"/>
        <v>0</v>
      </c>
      <c r="G141" s="483">
        <f t="shared" si="61"/>
        <v>182.5</v>
      </c>
      <c r="H141" s="484">
        <f t="shared" si="58"/>
        <v>385.846437182621</v>
      </c>
      <c r="I141" s="540">
        <f t="shared" si="59"/>
        <v>385.846437182621</v>
      </c>
      <c r="J141" s="476">
        <f t="shared" si="62"/>
        <v>0</v>
      </c>
      <c r="K141" s="476"/>
      <c r="L141" s="485"/>
      <c r="M141" s="476">
        <f t="shared" si="63"/>
        <v>0</v>
      </c>
      <c r="N141" s="485"/>
      <c r="O141" s="476">
        <f t="shared" si="64"/>
        <v>0</v>
      </c>
      <c r="P141" s="476">
        <f t="shared" si="65"/>
        <v>0</v>
      </c>
    </row>
    <row r="142" spans="2:16" ht="12.5">
      <c r="B142" s="160" t="str">
        <f t="shared" si="35"/>
        <v/>
      </c>
      <c r="C142" s="470">
        <f>IF(D93="","-",+C141+1)</f>
        <v>2049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60"/>
        <v>0</v>
      </c>
      <c r="G142" s="483">
        <f t="shared" si="61"/>
        <v>0</v>
      </c>
      <c r="H142" s="484">
        <f t="shared" si="58"/>
        <v>0</v>
      </c>
      <c r="I142" s="540">
        <f t="shared" si="59"/>
        <v>0</v>
      </c>
      <c r="J142" s="476">
        <f t="shared" si="62"/>
        <v>0</v>
      </c>
      <c r="K142" s="476"/>
      <c r="L142" s="485"/>
      <c r="M142" s="476">
        <f t="shared" si="63"/>
        <v>0</v>
      </c>
      <c r="N142" s="485"/>
      <c r="O142" s="476">
        <f t="shared" si="64"/>
        <v>0</v>
      </c>
      <c r="P142" s="476">
        <f t="shared" si="65"/>
        <v>0</v>
      </c>
    </row>
    <row r="143" spans="2:16" ht="12.5">
      <c r="B143" s="160" t="str">
        <f t="shared" si="35"/>
        <v/>
      </c>
      <c r="C143" s="470">
        <f>IF(D93="","-",+C142+1)</f>
        <v>2050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60"/>
        <v>0</v>
      </c>
      <c r="G143" s="483">
        <f t="shared" si="61"/>
        <v>0</v>
      </c>
      <c r="H143" s="484">
        <f t="shared" si="58"/>
        <v>0</v>
      </c>
      <c r="I143" s="540">
        <f t="shared" si="59"/>
        <v>0</v>
      </c>
      <c r="J143" s="476">
        <f t="shared" si="62"/>
        <v>0</v>
      </c>
      <c r="K143" s="476"/>
      <c r="L143" s="485"/>
      <c r="M143" s="476">
        <f t="shared" si="63"/>
        <v>0</v>
      </c>
      <c r="N143" s="485"/>
      <c r="O143" s="476">
        <f t="shared" si="64"/>
        <v>0</v>
      </c>
      <c r="P143" s="476">
        <f t="shared" si="65"/>
        <v>0</v>
      </c>
    </row>
    <row r="144" spans="2:16" ht="12.5">
      <c r="B144" s="160" t="str">
        <f t="shared" si="35"/>
        <v/>
      </c>
      <c r="C144" s="470">
        <f>IF(D93="","-",+C143+1)</f>
        <v>2051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60"/>
        <v>0</v>
      </c>
      <c r="G144" s="483">
        <f t="shared" si="61"/>
        <v>0</v>
      </c>
      <c r="H144" s="484">
        <f t="shared" si="58"/>
        <v>0</v>
      </c>
      <c r="I144" s="540">
        <f t="shared" si="59"/>
        <v>0</v>
      </c>
      <c r="J144" s="476">
        <f t="shared" si="62"/>
        <v>0</v>
      </c>
      <c r="K144" s="476"/>
      <c r="L144" s="485"/>
      <c r="M144" s="476">
        <f t="shared" si="63"/>
        <v>0</v>
      </c>
      <c r="N144" s="485"/>
      <c r="O144" s="476">
        <f t="shared" si="64"/>
        <v>0</v>
      </c>
      <c r="P144" s="476">
        <f t="shared" si="65"/>
        <v>0</v>
      </c>
    </row>
    <row r="145" spans="2:16" ht="12.5">
      <c r="B145" s="160" t="str">
        <f t="shared" si="35"/>
        <v/>
      </c>
      <c r="C145" s="470">
        <f>IF(D93="","-",+C144+1)</f>
        <v>2052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60"/>
        <v>0</v>
      </c>
      <c r="G145" s="483">
        <f t="shared" si="61"/>
        <v>0</v>
      </c>
      <c r="H145" s="484">
        <f t="shared" si="58"/>
        <v>0</v>
      </c>
      <c r="I145" s="540">
        <f t="shared" si="59"/>
        <v>0</v>
      </c>
      <c r="J145" s="476">
        <f t="shared" si="62"/>
        <v>0</v>
      </c>
      <c r="K145" s="476"/>
      <c r="L145" s="485"/>
      <c r="M145" s="476">
        <f t="shared" si="63"/>
        <v>0</v>
      </c>
      <c r="N145" s="485"/>
      <c r="O145" s="476">
        <f t="shared" si="64"/>
        <v>0</v>
      </c>
      <c r="P145" s="476">
        <f t="shared" si="65"/>
        <v>0</v>
      </c>
    </row>
    <row r="146" spans="2:16" ht="12.5">
      <c r="B146" s="160" t="str">
        <f t="shared" si="35"/>
        <v/>
      </c>
      <c r="C146" s="470">
        <f>IF(D93="","-",+C145+1)</f>
        <v>2053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60"/>
        <v>0</v>
      </c>
      <c r="G146" s="483">
        <f t="shared" si="61"/>
        <v>0</v>
      </c>
      <c r="H146" s="484">
        <f t="shared" si="58"/>
        <v>0</v>
      </c>
      <c r="I146" s="540">
        <f t="shared" si="59"/>
        <v>0</v>
      </c>
      <c r="J146" s="476">
        <f t="shared" si="62"/>
        <v>0</v>
      </c>
      <c r="K146" s="476"/>
      <c r="L146" s="485"/>
      <c r="M146" s="476">
        <f t="shared" si="63"/>
        <v>0</v>
      </c>
      <c r="N146" s="485"/>
      <c r="O146" s="476">
        <f t="shared" si="64"/>
        <v>0</v>
      </c>
      <c r="P146" s="476">
        <f t="shared" si="65"/>
        <v>0</v>
      </c>
    </row>
    <row r="147" spans="2:16" ht="12.5">
      <c r="B147" s="160" t="str">
        <f t="shared" si="35"/>
        <v/>
      </c>
      <c r="C147" s="470">
        <f>IF(D93="","-",+C146+1)</f>
        <v>2054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60"/>
        <v>0</v>
      </c>
      <c r="G147" s="483">
        <f t="shared" si="61"/>
        <v>0</v>
      </c>
      <c r="H147" s="484">
        <f t="shared" si="58"/>
        <v>0</v>
      </c>
      <c r="I147" s="540">
        <f t="shared" si="59"/>
        <v>0</v>
      </c>
      <c r="J147" s="476">
        <f t="shared" si="62"/>
        <v>0</v>
      </c>
      <c r="K147" s="476"/>
      <c r="L147" s="485"/>
      <c r="M147" s="476">
        <f t="shared" si="63"/>
        <v>0</v>
      </c>
      <c r="N147" s="485"/>
      <c r="O147" s="476">
        <f t="shared" si="64"/>
        <v>0</v>
      </c>
      <c r="P147" s="476">
        <f t="shared" si="65"/>
        <v>0</v>
      </c>
    </row>
    <row r="148" spans="2:16" ht="12.5">
      <c r="B148" s="160" t="str">
        <f t="shared" si="35"/>
        <v/>
      </c>
      <c r="C148" s="470">
        <f>IF(D93="","-",+C147+1)</f>
        <v>2055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60"/>
        <v>0</v>
      </c>
      <c r="G148" s="483">
        <f t="shared" si="61"/>
        <v>0</v>
      </c>
      <c r="H148" s="484">
        <f t="shared" si="58"/>
        <v>0</v>
      </c>
      <c r="I148" s="540">
        <f t="shared" si="59"/>
        <v>0</v>
      </c>
      <c r="J148" s="476">
        <f t="shared" si="62"/>
        <v>0</v>
      </c>
      <c r="K148" s="476"/>
      <c r="L148" s="485"/>
      <c r="M148" s="476">
        <f t="shared" si="63"/>
        <v>0</v>
      </c>
      <c r="N148" s="485"/>
      <c r="O148" s="476">
        <f t="shared" si="64"/>
        <v>0</v>
      </c>
      <c r="P148" s="476">
        <f t="shared" si="65"/>
        <v>0</v>
      </c>
    </row>
    <row r="149" spans="2:16" ht="12.5">
      <c r="B149" s="160" t="str">
        <f t="shared" si="35"/>
        <v/>
      </c>
      <c r="C149" s="470">
        <f>IF(D93="","-",+C148+1)</f>
        <v>2056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60"/>
        <v>0</v>
      </c>
      <c r="G149" s="483">
        <f t="shared" si="61"/>
        <v>0</v>
      </c>
      <c r="H149" s="484">
        <f t="shared" si="58"/>
        <v>0</v>
      </c>
      <c r="I149" s="540">
        <f t="shared" si="59"/>
        <v>0</v>
      </c>
      <c r="J149" s="476">
        <f t="shared" si="62"/>
        <v>0</v>
      </c>
      <c r="K149" s="476"/>
      <c r="L149" s="485"/>
      <c r="M149" s="476">
        <f t="shared" si="63"/>
        <v>0</v>
      </c>
      <c r="N149" s="485"/>
      <c r="O149" s="476">
        <f t="shared" si="64"/>
        <v>0</v>
      </c>
      <c r="P149" s="476">
        <f t="shared" si="65"/>
        <v>0</v>
      </c>
    </row>
    <row r="150" spans="2:16" ht="12.5">
      <c r="B150" s="160" t="str">
        <f t="shared" si="35"/>
        <v/>
      </c>
      <c r="C150" s="470">
        <f>IF(D93="","-",+C149+1)</f>
        <v>2057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60"/>
        <v>0</v>
      </c>
      <c r="G150" s="483">
        <f t="shared" si="61"/>
        <v>0</v>
      </c>
      <c r="H150" s="484">
        <f t="shared" si="58"/>
        <v>0</v>
      </c>
      <c r="I150" s="540">
        <f t="shared" si="59"/>
        <v>0</v>
      </c>
      <c r="J150" s="476">
        <f t="shared" si="62"/>
        <v>0</v>
      </c>
      <c r="K150" s="476"/>
      <c r="L150" s="485"/>
      <c r="M150" s="476">
        <f t="shared" si="63"/>
        <v>0</v>
      </c>
      <c r="N150" s="485"/>
      <c r="O150" s="476">
        <f t="shared" si="64"/>
        <v>0</v>
      </c>
      <c r="P150" s="476">
        <f t="shared" si="65"/>
        <v>0</v>
      </c>
    </row>
    <row r="151" spans="2:16" ht="12.5">
      <c r="B151" s="160" t="str">
        <f t="shared" si="35"/>
        <v/>
      </c>
      <c r="C151" s="470">
        <f>IF(D93="","-",+C150+1)</f>
        <v>2058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60"/>
        <v>0</v>
      </c>
      <c r="G151" s="483">
        <f t="shared" si="61"/>
        <v>0</v>
      </c>
      <c r="H151" s="484">
        <f t="shared" si="58"/>
        <v>0</v>
      </c>
      <c r="I151" s="540">
        <f t="shared" si="59"/>
        <v>0</v>
      </c>
      <c r="J151" s="476">
        <f t="shared" si="62"/>
        <v>0</v>
      </c>
      <c r="K151" s="476"/>
      <c r="L151" s="485"/>
      <c r="M151" s="476">
        <f t="shared" si="63"/>
        <v>0</v>
      </c>
      <c r="N151" s="485"/>
      <c r="O151" s="476">
        <f t="shared" si="64"/>
        <v>0</v>
      </c>
      <c r="P151" s="476">
        <f t="shared" si="65"/>
        <v>0</v>
      </c>
    </row>
    <row r="152" spans="2:16" ht="12.5">
      <c r="B152" s="160" t="str">
        <f t="shared" si="35"/>
        <v/>
      </c>
      <c r="C152" s="470">
        <f>IF(D93="","-",+C151+1)</f>
        <v>2059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60"/>
        <v>0</v>
      </c>
      <c r="G152" s="483">
        <f t="shared" si="61"/>
        <v>0</v>
      </c>
      <c r="H152" s="484">
        <f t="shared" si="58"/>
        <v>0</v>
      </c>
      <c r="I152" s="540">
        <f t="shared" si="59"/>
        <v>0</v>
      </c>
      <c r="J152" s="476">
        <f t="shared" si="62"/>
        <v>0</v>
      </c>
      <c r="K152" s="476"/>
      <c r="L152" s="485"/>
      <c r="M152" s="476">
        <f t="shared" si="63"/>
        <v>0</v>
      </c>
      <c r="N152" s="485"/>
      <c r="O152" s="476">
        <f t="shared" si="64"/>
        <v>0</v>
      </c>
      <c r="P152" s="476">
        <f t="shared" si="65"/>
        <v>0</v>
      </c>
    </row>
    <row r="153" spans="2:16" ht="12.5">
      <c r="B153" s="160" t="str">
        <f t="shared" si="35"/>
        <v/>
      </c>
      <c r="C153" s="470">
        <f>IF(D93="","-",+C152+1)</f>
        <v>2060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60"/>
        <v>0</v>
      </c>
      <c r="G153" s="483">
        <f t="shared" si="61"/>
        <v>0</v>
      </c>
      <c r="H153" s="484">
        <f t="shared" si="58"/>
        <v>0</v>
      </c>
      <c r="I153" s="540">
        <f t="shared" si="59"/>
        <v>0</v>
      </c>
      <c r="J153" s="476">
        <f t="shared" si="62"/>
        <v>0</v>
      </c>
      <c r="K153" s="476"/>
      <c r="L153" s="485"/>
      <c r="M153" s="476">
        <f t="shared" si="63"/>
        <v>0</v>
      </c>
      <c r="N153" s="485"/>
      <c r="O153" s="476">
        <f t="shared" si="64"/>
        <v>0</v>
      </c>
      <c r="P153" s="476">
        <f t="shared" si="65"/>
        <v>0</v>
      </c>
    </row>
    <row r="154" spans="2:16" ht="13" thickBot="1">
      <c r="B154" s="160" t="str">
        <f t="shared" si="35"/>
        <v/>
      </c>
      <c r="C154" s="487">
        <f>IF(D93="","-",+C153+1)</f>
        <v>2061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60"/>
        <v>0</v>
      </c>
      <c r="G154" s="488">
        <f t="shared" si="61"/>
        <v>0</v>
      </c>
      <c r="H154" s="490">
        <f t="shared" ref="H154" si="66">+J$94*G154+E154</f>
        <v>0</v>
      </c>
      <c r="I154" s="543">
        <f t="shared" ref="I154" si="67">+J$95*G154+E154</f>
        <v>0</v>
      </c>
      <c r="J154" s="493">
        <f t="shared" si="62"/>
        <v>0</v>
      </c>
      <c r="K154" s="476"/>
      <c r="L154" s="492"/>
      <c r="M154" s="493">
        <f t="shared" si="63"/>
        <v>0</v>
      </c>
      <c r="N154" s="492"/>
      <c r="O154" s="493">
        <f t="shared" si="64"/>
        <v>0</v>
      </c>
      <c r="P154" s="493">
        <f t="shared" si="65"/>
        <v>0</v>
      </c>
    </row>
    <row r="155" spans="2:16" ht="12.5">
      <c r="C155" s="345" t="s">
        <v>77</v>
      </c>
      <c r="D155" s="346"/>
      <c r="E155" s="346">
        <f>SUM(E99:E154)</f>
        <v>56133</v>
      </c>
      <c r="F155" s="346"/>
      <c r="G155" s="346"/>
      <c r="H155" s="346">
        <f>SUM(H99:H154)</f>
        <v>202233.88981481557</v>
      </c>
      <c r="I155" s="346">
        <f>SUM(I99:I154)</f>
        <v>202233.88981481557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7">
    <tabColor rgb="FFC00000"/>
  </sheetPr>
  <dimension ref="A1:P162"/>
  <sheetViews>
    <sheetView topLeftCell="A68" zoomScaleNormal="100" zoomScaleSheetLayoutView="75" workbookViewId="0">
      <selection activeCell="D94" sqref="D9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9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7517.475137068097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7517.475137068097</v>
      </c>
      <c r="O6" s="231"/>
      <c r="P6" s="231"/>
    </row>
    <row r="7" spans="1:16" ht="13.5" thickBot="1">
      <c r="C7" s="429" t="s">
        <v>46</v>
      </c>
      <c r="D7" s="430" t="s">
        <v>216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88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72551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4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1860.2820512820513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2007</v>
      </c>
      <c r="D17" s="471">
        <v>72551</v>
      </c>
      <c r="E17" s="472">
        <v>863.70238095238085</v>
      </c>
      <c r="F17" s="471">
        <v>71687.297619047618</v>
      </c>
      <c r="G17" s="472">
        <v>11207.929543529199</v>
      </c>
      <c r="H17" s="479">
        <v>11207.929543529199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2008</v>
      </c>
      <c r="D18" s="477">
        <v>71687.297619047618</v>
      </c>
      <c r="E18" s="478">
        <v>1295.5535714285713</v>
      </c>
      <c r="F18" s="477">
        <v>70391.744047619053</v>
      </c>
      <c r="G18" s="478">
        <v>11452.836869621469</v>
      </c>
      <c r="H18" s="479">
        <v>11452.836869621469</v>
      </c>
      <c r="I18" s="473">
        <f t="shared" si="0"/>
        <v>0</v>
      </c>
      <c r="J18" s="473"/>
      <c r="K18" s="474">
        <v>0</v>
      </c>
      <c r="L18" s="476">
        <f t="shared" si="1"/>
        <v>0</v>
      </c>
      <c r="M18" s="474">
        <v>0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/>
      </c>
      <c r="C19" s="470">
        <f>IF(D11="","-",+C18+1)</f>
        <v>2009</v>
      </c>
      <c r="D19" s="477">
        <v>70391.744047619053</v>
      </c>
      <c r="E19" s="478">
        <v>1295.5535714285713</v>
      </c>
      <c r="F19" s="477">
        <v>69096.190476190488</v>
      </c>
      <c r="G19" s="478">
        <v>11265.893005237553</v>
      </c>
      <c r="H19" s="479">
        <v>11265.893005237553</v>
      </c>
      <c r="I19" s="473">
        <f t="shared" si="0"/>
        <v>0</v>
      </c>
      <c r="J19" s="473"/>
      <c r="K19" s="474">
        <v>0</v>
      </c>
      <c r="L19" s="476">
        <f t="shared" si="1"/>
        <v>0</v>
      </c>
      <c r="M19" s="474">
        <v>0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4">IF(D20=F19,"","IU")</f>
        <v/>
      </c>
      <c r="C20" s="470">
        <f>IF(D11="","-",+C19+1)</f>
        <v>2010</v>
      </c>
      <c r="D20" s="477">
        <v>69096.190476190488</v>
      </c>
      <c r="E20" s="478">
        <v>1295.5535714285713</v>
      </c>
      <c r="F20" s="477">
        <v>67800.636904761923</v>
      </c>
      <c r="G20" s="478">
        <v>11078.949140853634</v>
      </c>
      <c r="H20" s="479">
        <v>11078.949140853634</v>
      </c>
      <c r="I20" s="473">
        <f t="shared" si="0"/>
        <v>0</v>
      </c>
      <c r="J20" s="473"/>
      <c r="K20" s="538">
        <f t="shared" ref="K20:K25" si="5">G20</f>
        <v>11078.949140853634</v>
      </c>
      <c r="L20" s="539">
        <f t="shared" si="1"/>
        <v>0</v>
      </c>
      <c r="M20" s="538">
        <f t="shared" ref="M20:M25" si="6">H20</f>
        <v>11078.949140853634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4"/>
        <v/>
      </c>
      <c r="C21" s="470">
        <f>IF(D11="","-",+C20+1)</f>
        <v>2011</v>
      </c>
      <c r="D21" s="477">
        <v>67800.636904761923</v>
      </c>
      <c r="E21" s="478">
        <v>1422.5686274509803</v>
      </c>
      <c r="F21" s="477">
        <v>66378.068277310944</v>
      </c>
      <c r="G21" s="478">
        <v>11813.613268851301</v>
      </c>
      <c r="H21" s="479">
        <v>11813.613268851301</v>
      </c>
      <c r="I21" s="473">
        <f t="shared" si="0"/>
        <v>0</v>
      </c>
      <c r="J21" s="473"/>
      <c r="K21" s="474">
        <f t="shared" si="5"/>
        <v>11813.613268851301</v>
      </c>
      <c r="L21" s="548">
        <f t="shared" si="1"/>
        <v>0</v>
      </c>
      <c r="M21" s="474">
        <f t="shared" si="6"/>
        <v>11813.613268851301</v>
      </c>
      <c r="N21" s="476">
        <f t="shared" si="2"/>
        <v>0</v>
      </c>
      <c r="O21" s="476">
        <f t="shared" si="3"/>
        <v>0</v>
      </c>
      <c r="P21" s="241"/>
    </row>
    <row r="22" spans="2:16" ht="12.5">
      <c r="B22" s="160" t="str">
        <f t="shared" si="4"/>
        <v/>
      </c>
      <c r="C22" s="470">
        <f>IF(D11="","-",+C21+1)</f>
        <v>2012</v>
      </c>
      <c r="D22" s="477">
        <v>66378.068277310944</v>
      </c>
      <c r="E22" s="478">
        <v>1395.2115384615386</v>
      </c>
      <c r="F22" s="477">
        <v>64982.856738849405</v>
      </c>
      <c r="G22" s="478">
        <v>10441.262785463339</v>
      </c>
      <c r="H22" s="479">
        <v>10441.262785463339</v>
      </c>
      <c r="I22" s="473">
        <f t="shared" si="0"/>
        <v>0</v>
      </c>
      <c r="J22" s="473"/>
      <c r="K22" s="474">
        <f t="shared" si="5"/>
        <v>10441.262785463339</v>
      </c>
      <c r="L22" s="548">
        <f t="shared" si="1"/>
        <v>0</v>
      </c>
      <c r="M22" s="474">
        <f t="shared" si="6"/>
        <v>10441.262785463339</v>
      </c>
      <c r="N22" s="476">
        <f t="shared" si="2"/>
        <v>0</v>
      </c>
      <c r="O22" s="476">
        <f t="shared" si="3"/>
        <v>0</v>
      </c>
      <c r="P22" s="241"/>
    </row>
    <row r="23" spans="2:16" ht="12.5">
      <c r="B23" s="160" t="str">
        <f t="shared" si="4"/>
        <v/>
      </c>
      <c r="C23" s="470">
        <f>IF(D11="","-",+C22+1)</f>
        <v>2013</v>
      </c>
      <c r="D23" s="477">
        <v>64982.856738849405</v>
      </c>
      <c r="E23" s="478">
        <v>1395.2115384615386</v>
      </c>
      <c r="F23" s="477">
        <v>63587.645200387866</v>
      </c>
      <c r="G23" s="478">
        <v>10475.957148527981</v>
      </c>
      <c r="H23" s="479">
        <v>10475.957148527981</v>
      </c>
      <c r="I23" s="473">
        <v>0</v>
      </c>
      <c r="J23" s="473"/>
      <c r="K23" s="474">
        <f t="shared" si="5"/>
        <v>10475.957148527981</v>
      </c>
      <c r="L23" s="548">
        <f t="shared" ref="L23:L28" si="7">IF(K23&lt;&gt;0,+G23-K23,0)</f>
        <v>0</v>
      </c>
      <c r="M23" s="474">
        <f t="shared" si="6"/>
        <v>10475.957148527981</v>
      </c>
      <c r="N23" s="476">
        <f t="shared" ref="N23:N28" si="8">IF(M23&lt;&gt;0,+H23-M23,0)</f>
        <v>0</v>
      </c>
      <c r="O23" s="476">
        <f t="shared" ref="O23:O28" si="9">+N23-L23</f>
        <v>0</v>
      </c>
      <c r="P23" s="241"/>
    </row>
    <row r="24" spans="2:16" ht="12.5">
      <c r="B24" s="160" t="str">
        <f t="shared" si="4"/>
        <v/>
      </c>
      <c r="C24" s="470">
        <f>IF(D11="","-",+C23+1)</f>
        <v>2014</v>
      </c>
      <c r="D24" s="477">
        <v>63587.645200387866</v>
      </c>
      <c r="E24" s="478">
        <v>1395.2115384615386</v>
      </c>
      <c r="F24" s="477">
        <v>62192.433661926327</v>
      </c>
      <c r="G24" s="478">
        <v>9956.5453160541092</v>
      </c>
      <c r="H24" s="479">
        <v>9956.5453160541092</v>
      </c>
      <c r="I24" s="473">
        <v>0</v>
      </c>
      <c r="J24" s="473"/>
      <c r="K24" s="474">
        <f t="shared" si="5"/>
        <v>9956.5453160541092</v>
      </c>
      <c r="L24" s="548">
        <f t="shared" si="7"/>
        <v>0</v>
      </c>
      <c r="M24" s="474">
        <f t="shared" si="6"/>
        <v>9956.5453160541092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4"/>
        <v/>
      </c>
      <c r="C25" s="470">
        <f>IF(D11="","-",+C24+1)</f>
        <v>2015</v>
      </c>
      <c r="D25" s="477">
        <v>62192.433661926327</v>
      </c>
      <c r="E25" s="478">
        <v>1395.2115384615386</v>
      </c>
      <c r="F25" s="477">
        <v>60797.222123464788</v>
      </c>
      <c r="G25" s="478">
        <v>9777.4252794187214</v>
      </c>
      <c r="H25" s="479">
        <v>9777.4252794187214</v>
      </c>
      <c r="I25" s="473">
        <v>0</v>
      </c>
      <c r="J25" s="473"/>
      <c r="K25" s="474">
        <f t="shared" si="5"/>
        <v>9777.4252794187214</v>
      </c>
      <c r="L25" s="548">
        <f t="shared" si="7"/>
        <v>0</v>
      </c>
      <c r="M25" s="474">
        <f t="shared" si="6"/>
        <v>9777.4252794187214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4"/>
        <v/>
      </c>
      <c r="C26" s="470">
        <f>IF(D11="","-",+C25+1)</f>
        <v>2016</v>
      </c>
      <c r="D26" s="477">
        <v>60797.222123464788</v>
      </c>
      <c r="E26" s="478">
        <v>1395.2115384615386</v>
      </c>
      <c r="F26" s="477">
        <v>59402.010585003249</v>
      </c>
      <c r="G26" s="478">
        <v>9186.357507240491</v>
      </c>
      <c r="H26" s="479">
        <v>9186.357507240491</v>
      </c>
      <c r="I26" s="473">
        <f t="shared" si="0"/>
        <v>0</v>
      </c>
      <c r="J26" s="473"/>
      <c r="K26" s="474">
        <f t="shared" ref="K26:K31" si="10">G26</f>
        <v>9186.357507240491</v>
      </c>
      <c r="L26" s="548">
        <f t="shared" si="7"/>
        <v>0</v>
      </c>
      <c r="M26" s="474">
        <f t="shared" ref="M26:M31" si="11">H26</f>
        <v>9186.357507240491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4"/>
        <v/>
      </c>
      <c r="C27" s="470">
        <f>IF(D11="","-",+C26+1)</f>
        <v>2017</v>
      </c>
      <c r="D27" s="477">
        <v>59402.010585003249</v>
      </c>
      <c r="E27" s="478">
        <v>1577.195652173913</v>
      </c>
      <c r="F27" s="477">
        <v>57824.814932829337</v>
      </c>
      <c r="G27" s="478">
        <v>8936.0194589414823</v>
      </c>
      <c r="H27" s="479">
        <v>8936.0194589414823</v>
      </c>
      <c r="I27" s="473">
        <f t="shared" si="0"/>
        <v>0</v>
      </c>
      <c r="J27" s="473"/>
      <c r="K27" s="474">
        <f t="shared" si="10"/>
        <v>8936.0194589414823</v>
      </c>
      <c r="L27" s="548">
        <f t="shared" si="7"/>
        <v>0</v>
      </c>
      <c r="M27" s="474">
        <f t="shared" si="11"/>
        <v>8936.0194589414823</v>
      </c>
      <c r="N27" s="476">
        <f t="shared" si="8"/>
        <v>0</v>
      </c>
      <c r="O27" s="476">
        <f t="shared" si="9"/>
        <v>0</v>
      </c>
      <c r="P27" s="241"/>
    </row>
    <row r="28" spans="2:16" ht="12.5">
      <c r="B28" s="160" t="str">
        <f t="shared" si="4"/>
        <v/>
      </c>
      <c r="C28" s="470">
        <f>IF(D11="","-",+C27+1)</f>
        <v>2018</v>
      </c>
      <c r="D28" s="477">
        <v>57824.814932829337</v>
      </c>
      <c r="E28" s="478">
        <v>1612.2444444444445</v>
      </c>
      <c r="F28" s="477">
        <v>56212.570488384896</v>
      </c>
      <c r="G28" s="478">
        <v>8440.7426840086373</v>
      </c>
      <c r="H28" s="479">
        <v>8440.7426840086373</v>
      </c>
      <c r="I28" s="473">
        <f t="shared" si="0"/>
        <v>0</v>
      </c>
      <c r="J28" s="473"/>
      <c r="K28" s="474">
        <f t="shared" si="10"/>
        <v>8440.7426840086373</v>
      </c>
      <c r="L28" s="548">
        <f t="shared" si="7"/>
        <v>0</v>
      </c>
      <c r="M28" s="474">
        <f t="shared" si="11"/>
        <v>8440.7426840086373</v>
      </c>
      <c r="N28" s="476">
        <f t="shared" si="8"/>
        <v>0</v>
      </c>
      <c r="O28" s="476">
        <f t="shared" si="9"/>
        <v>0</v>
      </c>
      <c r="P28" s="241"/>
    </row>
    <row r="29" spans="2:16" ht="12.5">
      <c r="B29" s="160" t="str">
        <f t="shared" si="4"/>
        <v/>
      </c>
      <c r="C29" s="470">
        <f>IF(D11="","-",+C28+1)</f>
        <v>2019</v>
      </c>
      <c r="D29" s="477">
        <v>56212.570488384896</v>
      </c>
      <c r="E29" s="478">
        <v>1813.7750000000001</v>
      </c>
      <c r="F29" s="477">
        <v>54398.795488384894</v>
      </c>
      <c r="G29" s="478">
        <v>7989.0212540933571</v>
      </c>
      <c r="H29" s="479">
        <v>7989.0212540933571</v>
      </c>
      <c r="I29" s="473">
        <f t="shared" si="0"/>
        <v>0</v>
      </c>
      <c r="J29" s="473"/>
      <c r="K29" s="474">
        <f t="shared" si="10"/>
        <v>7989.0212540933571</v>
      </c>
      <c r="L29" s="548">
        <f t="shared" ref="L29" si="12">IF(K29&lt;&gt;0,+G29-K29,0)</f>
        <v>0</v>
      </c>
      <c r="M29" s="474">
        <f t="shared" si="11"/>
        <v>7989.0212540933571</v>
      </c>
      <c r="N29" s="476">
        <f t="shared" ref="N29" si="13">IF(M29&lt;&gt;0,+H29-M29,0)</f>
        <v>0</v>
      </c>
      <c r="O29" s="476">
        <f t="shared" si="3"/>
        <v>0</v>
      </c>
      <c r="P29" s="241"/>
    </row>
    <row r="30" spans="2:16" ht="12.5">
      <c r="B30" s="160" t="str">
        <f t="shared" si="4"/>
        <v>IU</v>
      </c>
      <c r="C30" s="470">
        <f>IF(D11="","-",+C29+1)</f>
        <v>2020</v>
      </c>
      <c r="D30" s="477">
        <v>54600.326043940455</v>
      </c>
      <c r="E30" s="478">
        <v>1727.4047619047619</v>
      </c>
      <c r="F30" s="477">
        <v>52872.921282035692</v>
      </c>
      <c r="G30" s="478">
        <v>7531.2168125199005</v>
      </c>
      <c r="H30" s="479">
        <v>7531.2168125199005</v>
      </c>
      <c r="I30" s="473">
        <f t="shared" si="0"/>
        <v>0</v>
      </c>
      <c r="J30" s="473"/>
      <c r="K30" s="474">
        <f t="shared" si="10"/>
        <v>7531.2168125199005</v>
      </c>
      <c r="L30" s="548">
        <f t="shared" ref="L30" si="14">IF(K30&lt;&gt;0,+G30-K30,0)</f>
        <v>0</v>
      </c>
      <c r="M30" s="474">
        <f t="shared" si="11"/>
        <v>7531.2168125199005</v>
      </c>
      <c r="N30" s="476">
        <f t="shared" si="2"/>
        <v>0</v>
      </c>
      <c r="O30" s="476">
        <f t="shared" si="3"/>
        <v>0</v>
      </c>
      <c r="P30" s="241"/>
    </row>
    <row r="31" spans="2:16" ht="12.5">
      <c r="B31" s="160" t="str">
        <f t="shared" si="4"/>
        <v>IU</v>
      </c>
      <c r="C31" s="470">
        <f>IF(D11="","-",+C30+1)</f>
        <v>2021</v>
      </c>
      <c r="D31" s="477">
        <v>52671.390726480109</v>
      </c>
      <c r="E31" s="478">
        <v>1687.2325581395348</v>
      </c>
      <c r="F31" s="477">
        <v>50984.158168340575</v>
      </c>
      <c r="G31" s="478">
        <v>7184.4287124898146</v>
      </c>
      <c r="H31" s="479">
        <v>7184.4287124898146</v>
      </c>
      <c r="I31" s="473">
        <f t="shared" si="0"/>
        <v>0</v>
      </c>
      <c r="J31" s="473"/>
      <c r="K31" s="474">
        <f t="shared" si="10"/>
        <v>7184.4287124898146</v>
      </c>
      <c r="L31" s="548">
        <f t="shared" ref="L31" si="15">IF(K31&lt;&gt;0,+G31-K31,0)</f>
        <v>0</v>
      </c>
      <c r="M31" s="474">
        <f t="shared" si="11"/>
        <v>7184.4287124898146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4"/>
        <v/>
      </c>
      <c r="C32" s="470">
        <f>IF(D11="","-",+C31+1)</f>
        <v>2022</v>
      </c>
      <c r="D32" s="477">
        <v>50984.158168340575</v>
      </c>
      <c r="E32" s="478">
        <v>1727.4047619047619</v>
      </c>
      <c r="F32" s="477">
        <v>49256.753406435811</v>
      </c>
      <c r="G32" s="478">
        <v>7037.8367110732015</v>
      </c>
      <c r="H32" s="479">
        <v>7037.8367110732015</v>
      </c>
      <c r="I32" s="473">
        <f t="shared" si="0"/>
        <v>0</v>
      </c>
      <c r="J32" s="473"/>
      <c r="K32" s="474">
        <f t="shared" ref="K32" si="16">G32</f>
        <v>7037.8367110732015</v>
      </c>
      <c r="L32" s="548">
        <f t="shared" ref="L32" si="17">IF(K32&lt;&gt;0,+G32-K32,0)</f>
        <v>0</v>
      </c>
      <c r="M32" s="474">
        <f t="shared" ref="M32" si="18">H32</f>
        <v>7037.8367110732015</v>
      </c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4"/>
        <v/>
      </c>
      <c r="C33" s="470">
        <f>IF(D11="","-",+C32+1)</f>
        <v>2023</v>
      </c>
      <c r="D33" s="477">
        <v>49256.753406435811</v>
      </c>
      <c r="E33" s="478">
        <v>1860.2820512820513</v>
      </c>
      <c r="F33" s="477">
        <v>47396.471355153757</v>
      </c>
      <c r="G33" s="478">
        <v>7517.475137068097</v>
      </c>
      <c r="H33" s="479">
        <v>7517.475137068097</v>
      </c>
      <c r="I33" s="473">
        <f t="shared" si="0"/>
        <v>0</v>
      </c>
      <c r="J33" s="473"/>
      <c r="K33" s="474">
        <f t="shared" ref="K33" si="19">G33</f>
        <v>7517.475137068097</v>
      </c>
      <c r="L33" s="548">
        <f t="shared" ref="L33" si="20">IF(K33&lt;&gt;0,+G33-K33,0)</f>
        <v>0</v>
      </c>
      <c r="M33" s="474">
        <f t="shared" ref="M33" si="21">H33</f>
        <v>7517.475137068097</v>
      </c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4"/>
        <v/>
      </c>
      <c r="C34" s="470">
        <f>IF(D11="","-",+C33+1)</f>
        <v>2024</v>
      </c>
      <c r="D34" s="483">
        <f>IF(F33+SUM(E$17:E33)=D$10,F33,D$10-SUM(E$17:E33))</f>
        <v>47396.471355153757</v>
      </c>
      <c r="E34" s="482">
        <f>IF(+I14&lt;F33,I14,D34)</f>
        <v>1860.2820512820513</v>
      </c>
      <c r="F34" s="483">
        <f t="shared" ref="F34:F48" si="22">+D34-E34</f>
        <v>45536.189303871703</v>
      </c>
      <c r="G34" s="484">
        <f t="shared" ref="G34:G72" si="23">(D34+F34)/2*I$12+E34</f>
        <v>7406.4544802847468</v>
      </c>
      <c r="H34" s="453">
        <f t="shared" ref="H34:H72" si="24">+(D34+F34)/2*I$13+E34</f>
        <v>7406.4544802847468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4"/>
        <v/>
      </c>
      <c r="C35" s="470">
        <f>IF(D11="","-",+C34+1)</f>
        <v>2025</v>
      </c>
      <c r="D35" s="483">
        <f>IF(F34+SUM(E$17:E34)=D$10,F34,D$10-SUM(E$17:E34))</f>
        <v>45536.189303871703</v>
      </c>
      <c r="E35" s="482">
        <f>IF(+I14&lt;F34,I14,D35)</f>
        <v>1860.2820512820513</v>
      </c>
      <c r="F35" s="483">
        <f t="shared" si="22"/>
        <v>43675.907252589648</v>
      </c>
      <c r="G35" s="484">
        <f t="shared" si="23"/>
        <v>7184.41316671805</v>
      </c>
      <c r="H35" s="453">
        <f t="shared" si="24"/>
        <v>7184.41316671805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4"/>
        <v/>
      </c>
      <c r="C36" s="470">
        <f>IF(D11="","-",+C35+1)</f>
        <v>2026</v>
      </c>
      <c r="D36" s="483">
        <f>IF(F35+SUM(E$17:E35)=D$10,F35,D$10-SUM(E$17:E35))</f>
        <v>43675.907252589648</v>
      </c>
      <c r="E36" s="482">
        <f>IF(+I14&lt;F35,I14,D36)</f>
        <v>1860.2820512820513</v>
      </c>
      <c r="F36" s="483">
        <f t="shared" si="22"/>
        <v>41815.625201307594</v>
      </c>
      <c r="G36" s="484">
        <f t="shared" si="23"/>
        <v>6962.3718531513514</v>
      </c>
      <c r="H36" s="453">
        <f t="shared" si="24"/>
        <v>6962.3718531513514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4"/>
        <v/>
      </c>
      <c r="C37" s="470">
        <f>IF(D11="","-",+C36+1)</f>
        <v>2027</v>
      </c>
      <c r="D37" s="483">
        <f>IF(F36+SUM(E$17:E36)=D$10,F36,D$10-SUM(E$17:E36))</f>
        <v>41815.625201307594</v>
      </c>
      <c r="E37" s="482">
        <f>IF(+I14&lt;F36,I14,D37)</f>
        <v>1860.2820512820513</v>
      </c>
      <c r="F37" s="483">
        <f t="shared" si="22"/>
        <v>39955.343150025539</v>
      </c>
      <c r="G37" s="484">
        <f t="shared" si="23"/>
        <v>6740.3305395846546</v>
      </c>
      <c r="H37" s="453">
        <f t="shared" si="24"/>
        <v>6740.3305395846546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4"/>
        <v/>
      </c>
      <c r="C38" s="470">
        <f>IF(D11="","-",+C37+1)</f>
        <v>2028</v>
      </c>
      <c r="D38" s="483">
        <f>IF(F37+SUM(E$17:E37)=D$10,F37,D$10-SUM(E$17:E37))</f>
        <v>39955.343150025539</v>
      </c>
      <c r="E38" s="482">
        <f>IF(+I14&lt;F37,I14,D38)</f>
        <v>1860.2820512820513</v>
      </c>
      <c r="F38" s="483">
        <f t="shared" si="22"/>
        <v>38095.061098743485</v>
      </c>
      <c r="G38" s="484">
        <f t="shared" si="23"/>
        <v>6518.2892260179542</v>
      </c>
      <c r="H38" s="453">
        <f t="shared" si="24"/>
        <v>6518.2892260179542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4"/>
        <v/>
      </c>
      <c r="C39" s="470">
        <f>IF(D11="","-",+C38+1)</f>
        <v>2029</v>
      </c>
      <c r="D39" s="483">
        <f>IF(F38+SUM(E$17:E38)=D$10,F38,D$10-SUM(E$17:E38))</f>
        <v>38095.061098743485</v>
      </c>
      <c r="E39" s="482">
        <f>IF(+I14&lt;F38,I14,D39)</f>
        <v>1860.2820512820513</v>
      </c>
      <c r="F39" s="483">
        <f t="shared" si="22"/>
        <v>36234.77904746143</v>
      </c>
      <c r="G39" s="484">
        <f t="shared" si="23"/>
        <v>6296.2479124512574</v>
      </c>
      <c r="H39" s="453">
        <f t="shared" si="24"/>
        <v>6296.2479124512574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4"/>
        <v/>
      </c>
      <c r="C40" s="470">
        <f>IF(D11="","-",+C39+1)</f>
        <v>2030</v>
      </c>
      <c r="D40" s="483">
        <f>IF(F39+SUM(E$17:E39)=D$10,F39,D$10-SUM(E$17:E39))</f>
        <v>36234.77904746143</v>
      </c>
      <c r="E40" s="482">
        <f>IF(+I14&lt;F39,I14,D40)</f>
        <v>1860.2820512820513</v>
      </c>
      <c r="F40" s="483">
        <f t="shared" si="22"/>
        <v>34374.496996179376</v>
      </c>
      <c r="G40" s="484">
        <f t="shared" si="23"/>
        <v>6074.2065988845588</v>
      </c>
      <c r="H40" s="453">
        <f t="shared" si="24"/>
        <v>6074.2065988845588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4"/>
        <v/>
      </c>
      <c r="C41" s="470">
        <f>IF(D11="","-",+C40+1)</f>
        <v>2031</v>
      </c>
      <c r="D41" s="483">
        <f>IF(F40+SUM(E$17:E40)=D$10,F40,D$10-SUM(E$17:E40))</f>
        <v>34374.496996179376</v>
      </c>
      <c r="E41" s="482">
        <f>IF(+I14&lt;F40,I14,D41)</f>
        <v>1860.2820512820513</v>
      </c>
      <c r="F41" s="483">
        <f t="shared" si="22"/>
        <v>32514.214944897325</v>
      </c>
      <c r="G41" s="484">
        <f t="shared" si="23"/>
        <v>5852.1652853178621</v>
      </c>
      <c r="H41" s="453">
        <f t="shared" si="24"/>
        <v>5852.1652853178621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4"/>
        <v/>
      </c>
      <c r="C42" s="470">
        <f>IF(D11="","-",+C41+1)</f>
        <v>2032</v>
      </c>
      <c r="D42" s="483">
        <f>IF(F41+SUM(E$17:E41)=D$10,F41,D$10-SUM(E$17:E41))</f>
        <v>32514.214944897325</v>
      </c>
      <c r="E42" s="482">
        <f>IF(+I14&lt;F41,I14,D42)</f>
        <v>1860.2820512820513</v>
      </c>
      <c r="F42" s="483">
        <f t="shared" si="22"/>
        <v>30653.932893615274</v>
      </c>
      <c r="G42" s="484">
        <f t="shared" si="23"/>
        <v>5630.1239717511635</v>
      </c>
      <c r="H42" s="453">
        <f t="shared" si="24"/>
        <v>5630.1239717511635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4"/>
        <v/>
      </c>
      <c r="C43" s="470">
        <f>IF(D11="","-",+C42+1)</f>
        <v>2033</v>
      </c>
      <c r="D43" s="483">
        <f>IF(F42+SUM(E$17:E42)=D$10,F42,D$10-SUM(E$17:E42))</f>
        <v>30653.932893615274</v>
      </c>
      <c r="E43" s="482">
        <f>IF(+I14&lt;F42,I14,D43)</f>
        <v>1860.2820512820513</v>
      </c>
      <c r="F43" s="483">
        <f t="shared" si="22"/>
        <v>28793.650842333223</v>
      </c>
      <c r="G43" s="484">
        <f t="shared" si="23"/>
        <v>5408.0826581844667</v>
      </c>
      <c r="H43" s="453">
        <f t="shared" si="24"/>
        <v>5408.0826581844667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4"/>
        <v/>
      </c>
      <c r="C44" s="470">
        <f>IF(D11="","-",+C43+1)</f>
        <v>2034</v>
      </c>
      <c r="D44" s="483">
        <f>IF(F43+SUM(E$17:E43)=D$10,F43,D$10-SUM(E$17:E43))</f>
        <v>28793.650842333223</v>
      </c>
      <c r="E44" s="482">
        <f>IF(+I14&lt;F43,I14,D44)</f>
        <v>1860.2820512820513</v>
      </c>
      <c r="F44" s="483">
        <f t="shared" si="22"/>
        <v>26933.368791051173</v>
      </c>
      <c r="G44" s="484">
        <f t="shared" si="23"/>
        <v>5186.0413446177681</v>
      </c>
      <c r="H44" s="453">
        <f t="shared" si="24"/>
        <v>5186.0413446177681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4"/>
        <v/>
      </c>
      <c r="C45" s="470">
        <f>IF(D11="","-",+C44+1)</f>
        <v>2035</v>
      </c>
      <c r="D45" s="483">
        <f>IF(F44+SUM(E$17:E44)=D$10,F44,D$10-SUM(E$17:E44))</f>
        <v>26933.368791051173</v>
      </c>
      <c r="E45" s="482">
        <f>IF(+I14&lt;F44,I14,D45)</f>
        <v>1860.2820512820513</v>
      </c>
      <c r="F45" s="483">
        <f t="shared" si="22"/>
        <v>25073.086739769122</v>
      </c>
      <c r="G45" s="484">
        <f t="shared" si="23"/>
        <v>4964.0000310510713</v>
      </c>
      <c r="H45" s="453">
        <f t="shared" si="24"/>
        <v>4964.0000310510713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4"/>
        <v/>
      </c>
      <c r="C46" s="470">
        <f>IF(D11="","-",+C45+1)</f>
        <v>2036</v>
      </c>
      <c r="D46" s="483">
        <f>IF(F45+SUM(E$17:E45)=D$10,F45,D$10-SUM(E$17:E45))</f>
        <v>25073.086739769122</v>
      </c>
      <c r="E46" s="482">
        <f>IF(+I14&lt;F45,I14,D46)</f>
        <v>1860.2820512820513</v>
      </c>
      <c r="F46" s="483">
        <f t="shared" si="22"/>
        <v>23212.804688487071</v>
      </c>
      <c r="G46" s="484">
        <f t="shared" si="23"/>
        <v>4741.9587174843728</v>
      </c>
      <c r="H46" s="453">
        <f t="shared" si="24"/>
        <v>4741.9587174843728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4"/>
        <v/>
      </c>
      <c r="C47" s="470">
        <f>IF(D11="","-",+C46+1)</f>
        <v>2037</v>
      </c>
      <c r="D47" s="483">
        <f>IF(F46+SUM(E$17:E46)=D$10,F46,D$10-SUM(E$17:E46))</f>
        <v>23212.804688487071</v>
      </c>
      <c r="E47" s="482">
        <f>IF(+I14&lt;F46,I14,D47)</f>
        <v>1860.2820512820513</v>
      </c>
      <c r="F47" s="483">
        <f t="shared" si="22"/>
        <v>21352.52263720502</v>
      </c>
      <c r="G47" s="484">
        <f t="shared" si="23"/>
        <v>4519.917403917676</v>
      </c>
      <c r="H47" s="453">
        <f t="shared" si="24"/>
        <v>4519.917403917676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4"/>
        <v/>
      </c>
      <c r="C48" s="470">
        <f>IF(D11="","-",+C47+1)</f>
        <v>2038</v>
      </c>
      <c r="D48" s="483">
        <f>IF(F47+SUM(E$17:E47)=D$10,F47,D$10-SUM(E$17:E47))</f>
        <v>21352.52263720502</v>
      </c>
      <c r="E48" s="482">
        <f>IF(+I14&lt;F47,I14,D48)</f>
        <v>1860.2820512820513</v>
      </c>
      <c r="F48" s="483">
        <f t="shared" si="22"/>
        <v>19492.240585922969</v>
      </c>
      <c r="G48" s="484">
        <f t="shared" si="23"/>
        <v>4297.8760903509774</v>
      </c>
      <c r="H48" s="453">
        <f t="shared" si="24"/>
        <v>4297.8760903509774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4"/>
        <v/>
      </c>
      <c r="C49" s="470">
        <f>IF(D11="","-",+C48+1)</f>
        <v>2039</v>
      </c>
      <c r="D49" s="483">
        <f>IF(F48+SUM(E$17:E48)=D$10,F48,D$10-SUM(E$17:E48))</f>
        <v>19492.240585922969</v>
      </c>
      <c r="E49" s="482">
        <f>IF(+I14&lt;F48,I14,D49)</f>
        <v>1860.2820512820513</v>
      </c>
      <c r="F49" s="483">
        <f t="shared" ref="F49:F72" si="25">+D49-E49</f>
        <v>17631.958534640919</v>
      </c>
      <c r="G49" s="484">
        <f t="shared" si="23"/>
        <v>4075.8347767842802</v>
      </c>
      <c r="H49" s="453">
        <f t="shared" si="24"/>
        <v>4075.8347767842802</v>
      </c>
      <c r="I49" s="473">
        <f t="shared" ref="I49:I72" si="26">H49-G49</f>
        <v>0</v>
      </c>
      <c r="J49" s="473"/>
      <c r="K49" s="485"/>
      <c r="L49" s="476">
        <f t="shared" ref="L49:L72" si="27">IF(K49&lt;&gt;0,+G49-K49,0)</f>
        <v>0</v>
      </c>
      <c r="M49" s="485"/>
      <c r="N49" s="476">
        <f t="shared" ref="N49:N72" si="28">IF(M49&lt;&gt;0,+H49-M49,0)</f>
        <v>0</v>
      </c>
      <c r="O49" s="476">
        <f t="shared" ref="O49:O72" si="29">+N49-L49</f>
        <v>0</v>
      </c>
      <c r="P49" s="241"/>
    </row>
    <row r="50" spans="2:16" ht="12.5">
      <c r="B50" s="160" t="str">
        <f t="shared" si="4"/>
        <v/>
      </c>
      <c r="C50" s="470">
        <f>IF(D11="","-",+C49+1)</f>
        <v>2040</v>
      </c>
      <c r="D50" s="483">
        <f>IF(F49+SUM(E$17:E49)=D$10,F49,D$10-SUM(E$17:E49))</f>
        <v>17631.958534640919</v>
      </c>
      <c r="E50" s="482">
        <f>IF(+I14&lt;F49,I14,D50)</f>
        <v>1860.2820512820513</v>
      </c>
      <c r="F50" s="483">
        <f t="shared" si="25"/>
        <v>15771.676483358868</v>
      </c>
      <c r="G50" s="484">
        <f t="shared" si="23"/>
        <v>3853.793463217582</v>
      </c>
      <c r="H50" s="453">
        <f t="shared" si="24"/>
        <v>3853.793463217582</v>
      </c>
      <c r="I50" s="473">
        <f t="shared" si="26"/>
        <v>0</v>
      </c>
      <c r="J50" s="473"/>
      <c r="K50" s="485"/>
      <c r="L50" s="476">
        <f t="shared" si="27"/>
        <v>0</v>
      </c>
      <c r="M50" s="485"/>
      <c r="N50" s="476">
        <f t="shared" si="28"/>
        <v>0</v>
      </c>
      <c r="O50" s="476">
        <f t="shared" si="29"/>
        <v>0</v>
      </c>
      <c r="P50" s="241"/>
    </row>
    <row r="51" spans="2:16" ht="12.5">
      <c r="B51" s="160" t="str">
        <f t="shared" si="4"/>
        <v/>
      </c>
      <c r="C51" s="470">
        <f>IF(D11="","-",+C50+1)</f>
        <v>2041</v>
      </c>
      <c r="D51" s="483">
        <f>IF(F50+SUM(E$17:E50)=D$10,F50,D$10-SUM(E$17:E50))</f>
        <v>15771.676483358868</v>
      </c>
      <c r="E51" s="482">
        <f>IF(+I14&lt;F50,I14,D51)</f>
        <v>1860.2820512820513</v>
      </c>
      <c r="F51" s="483">
        <f t="shared" si="25"/>
        <v>13911.394432076817</v>
      </c>
      <c r="G51" s="484">
        <f t="shared" si="23"/>
        <v>3631.7521496508843</v>
      </c>
      <c r="H51" s="453">
        <f t="shared" si="24"/>
        <v>3631.7521496508843</v>
      </c>
      <c r="I51" s="473">
        <f t="shared" si="26"/>
        <v>0</v>
      </c>
      <c r="J51" s="473"/>
      <c r="K51" s="485"/>
      <c r="L51" s="476">
        <f t="shared" si="27"/>
        <v>0</v>
      </c>
      <c r="M51" s="485"/>
      <c r="N51" s="476">
        <f t="shared" si="28"/>
        <v>0</v>
      </c>
      <c r="O51" s="476">
        <f t="shared" si="29"/>
        <v>0</v>
      </c>
      <c r="P51" s="241"/>
    </row>
    <row r="52" spans="2:16" ht="12.5">
      <c r="B52" s="160" t="str">
        <f t="shared" si="4"/>
        <v/>
      </c>
      <c r="C52" s="470">
        <f>IF(D11="","-",+C51+1)</f>
        <v>2042</v>
      </c>
      <c r="D52" s="483">
        <f>IF(F51+SUM(E$17:E51)=D$10,F51,D$10-SUM(E$17:E51))</f>
        <v>13911.394432076817</v>
      </c>
      <c r="E52" s="482">
        <f>IF(+I14&lt;F51,I14,D52)</f>
        <v>1860.2820512820513</v>
      </c>
      <c r="F52" s="483">
        <f t="shared" si="25"/>
        <v>12051.112380794766</v>
      </c>
      <c r="G52" s="484">
        <f t="shared" si="23"/>
        <v>3409.7108360841867</v>
      </c>
      <c r="H52" s="453">
        <f t="shared" si="24"/>
        <v>3409.7108360841867</v>
      </c>
      <c r="I52" s="473">
        <f t="shared" si="26"/>
        <v>0</v>
      </c>
      <c r="J52" s="473"/>
      <c r="K52" s="485"/>
      <c r="L52" s="476">
        <f t="shared" si="27"/>
        <v>0</v>
      </c>
      <c r="M52" s="485"/>
      <c r="N52" s="476">
        <f t="shared" si="28"/>
        <v>0</v>
      </c>
      <c r="O52" s="476">
        <f t="shared" si="29"/>
        <v>0</v>
      </c>
      <c r="P52" s="241"/>
    </row>
    <row r="53" spans="2:16" ht="12.5">
      <c r="B53" s="160" t="str">
        <f t="shared" si="4"/>
        <v/>
      </c>
      <c r="C53" s="470">
        <f>IF(D11="","-",+C52+1)</f>
        <v>2043</v>
      </c>
      <c r="D53" s="483">
        <f>IF(F52+SUM(E$17:E52)=D$10,F52,D$10-SUM(E$17:E52))</f>
        <v>12051.112380794766</v>
      </c>
      <c r="E53" s="482">
        <f>IF(+I14&lt;F52,I14,D53)</f>
        <v>1860.2820512820513</v>
      </c>
      <c r="F53" s="483">
        <f t="shared" si="25"/>
        <v>10190.830329512715</v>
      </c>
      <c r="G53" s="484">
        <f t="shared" si="23"/>
        <v>3187.669522517489</v>
      </c>
      <c r="H53" s="453">
        <f t="shared" si="24"/>
        <v>3187.669522517489</v>
      </c>
      <c r="I53" s="473">
        <f t="shared" si="26"/>
        <v>0</v>
      </c>
      <c r="J53" s="473"/>
      <c r="K53" s="485"/>
      <c r="L53" s="476">
        <f t="shared" si="27"/>
        <v>0</v>
      </c>
      <c r="M53" s="485"/>
      <c r="N53" s="476">
        <f t="shared" si="28"/>
        <v>0</v>
      </c>
      <c r="O53" s="476">
        <f t="shared" si="29"/>
        <v>0</v>
      </c>
      <c r="P53" s="241"/>
    </row>
    <row r="54" spans="2:16" ht="12.5">
      <c r="B54" s="160" t="str">
        <f t="shared" si="4"/>
        <v/>
      </c>
      <c r="C54" s="470">
        <f>IF(D11="","-",+C53+1)</f>
        <v>2044</v>
      </c>
      <c r="D54" s="483">
        <f>IF(F53+SUM(E$17:E53)=D$10,F53,D$10-SUM(E$17:E53))</f>
        <v>10190.830329512715</v>
      </c>
      <c r="E54" s="482">
        <f>IF(+I14&lt;F53,I14,D54)</f>
        <v>1860.2820512820513</v>
      </c>
      <c r="F54" s="483">
        <f t="shared" si="25"/>
        <v>8330.5482782306644</v>
      </c>
      <c r="G54" s="484">
        <f t="shared" si="23"/>
        <v>2965.6282089507913</v>
      </c>
      <c r="H54" s="453">
        <f t="shared" si="24"/>
        <v>2965.6282089507913</v>
      </c>
      <c r="I54" s="473">
        <f t="shared" si="26"/>
        <v>0</v>
      </c>
      <c r="J54" s="473"/>
      <c r="K54" s="485"/>
      <c r="L54" s="476">
        <f t="shared" si="27"/>
        <v>0</v>
      </c>
      <c r="M54" s="485"/>
      <c r="N54" s="476">
        <f t="shared" si="28"/>
        <v>0</v>
      </c>
      <c r="O54" s="476">
        <f t="shared" si="29"/>
        <v>0</v>
      </c>
      <c r="P54" s="241"/>
    </row>
    <row r="55" spans="2:16" ht="12.5">
      <c r="B55" s="160" t="str">
        <f t="shared" si="4"/>
        <v/>
      </c>
      <c r="C55" s="470">
        <f>IF(D11="","-",+C54+1)</f>
        <v>2045</v>
      </c>
      <c r="D55" s="483">
        <f>IF(F54+SUM(E$17:E54)=D$10,F54,D$10-SUM(E$17:E54))</f>
        <v>8330.5482782306644</v>
      </c>
      <c r="E55" s="482">
        <f>IF(+I14&lt;F54,I14,D55)</f>
        <v>1860.2820512820513</v>
      </c>
      <c r="F55" s="483">
        <f t="shared" si="25"/>
        <v>6470.2662269486136</v>
      </c>
      <c r="G55" s="484">
        <f t="shared" si="23"/>
        <v>2743.5868953840936</v>
      </c>
      <c r="H55" s="453">
        <f t="shared" si="24"/>
        <v>2743.5868953840936</v>
      </c>
      <c r="I55" s="473">
        <f t="shared" si="26"/>
        <v>0</v>
      </c>
      <c r="J55" s="473"/>
      <c r="K55" s="485"/>
      <c r="L55" s="476">
        <f t="shared" si="27"/>
        <v>0</v>
      </c>
      <c r="M55" s="485"/>
      <c r="N55" s="476">
        <f t="shared" si="28"/>
        <v>0</v>
      </c>
      <c r="O55" s="476">
        <f t="shared" si="29"/>
        <v>0</v>
      </c>
      <c r="P55" s="241"/>
    </row>
    <row r="56" spans="2:16" ht="12.5">
      <c r="B56" s="160" t="str">
        <f t="shared" si="4"/>
        <v/>
      </c>
      <c r="C56" s="470">
        <f>IF(D11="","-",+C55+1)</f>
        <v>2046</v>
      </c>
      <c r="D56" s="483">
        <f>IF(F55+SUM(E$17:E55)=D$10,F55,D$10-SUM(E$17:E55))</f>
        <v>6470.2662269486136</v>
      </c>
      <c r="E56" s="482">
        <f>IF(+I14&lt;F55,I14,D56)</f>
        <v>1860.2820512820513</v>
      </c>
      <c r="F56" s="483">
        <f t="shared" si="25"/>
        <v>4609.9841756665628</v>
      </c>
      <c r="G56" s="484">
        <f t="shared" si="23"/>
        <v>2521.5455818173959</v>
      </c>
      <c r="H56" s="453">
        <f t="shared" si="24"/>
        <v>2521.5455818173959</v>
      </c>
      <c r="I56" s="473">
        <f t="shared" si="26"/>
        <v>0</v>
      </c>
      <c r="J56" s="473"/>
      <c r="K56" s="485"/>
      <c r="L56" s="476">
        <f t="shared" si="27"/>
        <v>0</v>
      </c>
      <c r="M56" s="485"/>
      <c r="N56" s="476">
        <f t="shared" si="28"/>
        <v>0</v>
      </c>
      <c r="O56" s="476">
        <f t="shared" si="29"/>
        <v>0</v>
      </c>
      <c r="P56" s="241"/>
    </row>
    <row r="57" spans="2:16" ht="12.5">
      <c r="B57" s="160" t="str">
        <f t="shared" si="4"/>
        <v/>
      </c>
      <c r="C57" s="470">
        <f>IF(D11="","-",+C56+1)</f>
        <v>2047</v>
      </c>
      <c r="D57" s="483">
        <f>IF(F56+SUM(E$17:E56)=D$10,F56,D$10-SUM(E$17:E56))</f>
        <v>4609.9841756665628</v>
      </c>
      <c r="E57" s="482">
        <f>IF(+I14&lt;F56,I14,D57)</f>
        <v>1860.2820512820513</v>
      </c>
      <c r="F57" s="483">
        <f t="shared" si="25"/>
        <v>2749.7021243845115</v>
      </c>
      <c r="G57" s="484">
        <f t="shared" si="23"/>
        <v>2299.5042682506983</v>
      </c>
      <c r="H57" s="453">
        <f t="shared" si="24"/>
        <v>2299.5042682506983</v>
      </c>
      <c r="I57" s="473">
        <f t="shared" si="26"/>
        <v>0</v>
      </c>
      <c r="J57" s="473"/>
      <c r="K57" s="485"/>
      <c r="L57" s="476">
        <f t="shared" si="27"/>
        <v>0</v>
      </c>
      <c r="M57" s="485"/>
      <c r="N57" s="476">
        <f t="shared" si="28"/>
        <v>0</v>
      </c>
      <c r="O57" s="476">
        <f t="shared" si="29"/>
        <v>0</v>
      </c>
      <c r="P57" s="241"/>
    </row>
    <row r="58" spans="2:16" ht="12.5">
      <c r="B58" s="160" t="str">
        <f t="shared" si="4"/>
        <v/>
      </c>
      <c r="C58" s="470">
        <f>IF(D11="","-",+C57+1)</f>
        <v>2048</v>
      </c>
      <c r="D58" s="483">
        <f>IF(F57+SUM(E$17:E57)=D$10,F57,D$10-SUM(E$17:E57))</f>
        <v>2749.7021243845115</v>
      </c>
      <c r="E58" s="482">
        <f>IF(+I14&lt;F57,I14,D58)</f>
        <v>1860.2820512820513</v>
      </c>
      <c r="F58" s="483">
        <f t="shared" si="25"/>
        <v>889.42007310246026</v>
      </c>
      <c r="G58" s="484">
        <f t="shared" si="23"/>
        <v>2077.4629546840006</v>
      </c>
      <c r="H58" s="453">
        <f t="shared" si="24"/>
        <v>2077.4629546840006</v>
      </c>
      <c r="I58" s="473">
        <f t="shared" si="26"/>
        <v>0</v>
      </c>
      <c r="J58" s="473"/>
      <c r="K58" s="485"/>
      <c r="L58" s="476">
        <f t="shared" si="27"/>
        <v>0</v>
      </c>
      <c r="M58" s="485"/>
      <c r="N58" s="476">
        <f t="shared" si="28"/>
        <v>0</v>
      </c>
      <c r="O58" s="476">
        <f t="shared" si="29"/>
        <v>0</v>
      </c>
      <c r="P58" s="241"/>
    </row>
    <row r="59" spans="2:16" ht="12.5">
      <c r="B59" s="160" t="str">
        <f t="shared" si="4"/>
        <v/>
      </c>
      <c r="C59" s="470">
        <f>IF(D11="","-",+C58+1)</f>
        <v>2049</v>
      </c>
      <c r="D59" s="483">
        <f>IF(F58+SUM(E$17:E58)=D$10,F58,D$10-SUM(E$17:E58))</f>
        <v>889.42007310246026</v>
      </c>
      <c r="E59" s="482">
        <f>IF(+I14&lt;F58,I14,D59)</f>
        <v>889.42007310246026</v>
      </c>
      <c r="F59" s="483">
        <f t="shared" si="25"/>
        <v>0</v>
      </c>
      <c r="G59" s="484">
        <f t="shared" si="23"/>
        <v>942.5001964117605</v>
      </c>
      <c r="H59" s="453">
        <f t="shared" si="24"/>
        <v>942.5001964117605</v>
      </c>
      <c r="I59" s="473">
        <f t="shared" si="26"/>
        <v>0</v>
      </c>
      <c r="J59" s="473"/>
      <c r="K59" s="485"/>
      <c r="L59" s="476">
        <f t="shared" si="27"/>
        <v>0</v>
      </c>
      <c r="M59" s="485"/>
      <c r="N59" s="476">
        <f t="shared" si="28"/>
        <v>0</v>
      </c>
      <c r="O59" s="476">
        <f t="shared" si="29"/>
        <v>0</v>
      </c>
      <c r="P59" s="241"/>
    </row>
    <row r="60" spans="2:16" ht="12.5">
      <c r="B60" s="160" t="str">
        <f t="shared" si="4"/>
        <v/>
      </c>
      <c r="C60" s="470">
        <f>IF(D11="","-",+C59+1)</f>
        <v>2050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5"/>
        <v>0</v>
      </c>
      <c r="G60" s="484">
        <f t="shared" si="23"/>
        <v>0</v>
      </c>
      <c r="H60" s="453">
        <f t="shared" si="24"/>
        <v>0</v>
      </c>
      <c r="I60" s="473">
        <f t="shared" si="26"/>
        <v>0</v>
      </c>
      <c r="J60" s="473"/>
      <c r="K60" s="485"/>
      <c r="L60" s="476">
        <f t="shared" si="27"/>
        <v>0</v>
      </c>
      <c r="M60" s="485"/>
      <c r="N60" s="476">
        <f t="shared" si="28"/>
        <v>0</v>
      </c>
      <c r="O60" s="476">
        <f t="shared" si="29"/>
        <v>0</v>
      </c>
      <c r="P60" s="241"/>
    </row>
    <row r="61" spans="2:16" ht="12.5">
      <c r="B61" s="160" t="str">
        <f t="shared" si="4"/>
        <v/>
      </c>
      <c r="C61" s="470">
        <f>IF(D11="","-",+C60+1)</f>
        <v>2051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5"/>
        <v>0</v>
      </c>
      <c r="G61" s="484">
        <f t="shared" si="23"/>
        <v>0</v>
      </c>
      <c r="H61" s="453">
        <f t="shared" si="24"/>
        <v>0</v>
      </c>
      <c r="I61" s="473">
        <f t="shared" si="26"/>
        <v>0</v>
      </c>
      <c r="J61" s="473"/>
      <c r="K61" s="485"/>
      <c r="L61" s="476">
        <f t="shared" si="27"/>
        <v>0</v>
      </c>
      <c r="M61" s="485"/>
      <c r="N61" s="476">
        <f t="shared" si="28"/>
        <v>0</v>
      </c>
      <c r="O61" s="476">
        <f t="shared" si="29"/>
        <v>0</v>
      </c>
      <c r="P61" s="241"/>
    </row>
    <row r="62" spans="2:16" ht="12.5">
      <c r="B62" s="160" t="str">
        <f t="shared" si="4"/>
        <v/>
      </c>
      <c r="C62" s="470">
        <f>IF(D11="","-",+C61+1)</f>
        <v>2052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5"/>
        <v>0</v>
      </c>
      <c r="G62" s="484">
        <f t="shared" si="23"/>
        <v>0</v>
      </c>
      <c r="H62" s="453">
        <f t="shared" si="24"/>
        <v>0</v>
      </c>
      <c r="I62" s="473">
        <f t="shared" si="26"/>
        <v>0</v>
      </c>
      <c r="J62" s="473"/>
      <c r="K62" s="485"/>
      <c r="L62" s="476">
        <f t="shared" si="27"/>
        <v>0</v>
      </c>
      <c r="M62" s="485"/>
      <c r="N62" s="476">
        <f t="shared" si="28"/>
        <v>0</v>
      </c>
      <c r="O62" s="476">
        <f t="shared" si="29"/>
        <v>0</v>
      </c>
      <c r="P62" s="241"/>
    </row>
    <row r="63" spans="2:16" ht="12.5">
      <c r="B63" s="160" t="str">
        <f t="shared" si="4"/>
        <v/>
      </c>
      <c r="C63" s="470">
        <f>IF(D11="","-",+C62+1)</f>
        <v>2053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5"/>
        <v>0</v>
      </c>
      <c r="G63" s="484">
        <f t="shared" si="23"/>
        <v>0</v>
      </c>
      <c r="H63" s="453">
        <f t="shared" si="24"/>
        <v>0</v>
      </c>
      <c r="I63" s="473">
        <f t="shared" si="26"/>
        <v>0</v>
      </c>
      <c r="J63" s="473"/>
      <c r="K63" s="485"/>
      <c r="L63" s="476">
        <f t="shared" si="27"/>
        <v>0</v>
      </c>
      <c r="M63" s="485"/>
      <c r="N63" s="476">
        <f t="shared" si="28"/>
        <v>0</v>
      </c>
      <c r="O63" s="476">
        <f t="shared" si="29"/>
        <v>0</v>
      </c>
      <c r="P63" s="241"/>
    </row>
    <row r="64" spans="2:16" ht="12.5">
      <c r="B64" s="160" t="str">
        <f t="shared" si="4"/>
        <v/>
      </c>
      <c r="C64" s="470">
        <f>IF(D11="","-",+C63+1)</f>
        <v>2054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5"/>
        <v>0</v>
      </c>
      <c r="G64" s="484">
        <f t="shared" si="23"/>
        <v>0</v>
      </c>
      <c r="H64" s="453">
        <f t="shared" si="24"/>
        <v>0</v>
      </c>
      <c r="I64" s="473">
        <f t="shared" si="26"/>
        <v>0</v>
      </c>
      <c r="J64" s="473"/>
      <c r="K64" s="485"/>
      <c r="L64" s="476">
        <f t="shared" si="27"/>
        <v>0</v>
      </c>
      <c r="M64" s="485"/>
      <c r="N64" s="476">
        <f t="shared" si="28"/>
        <v>0</v>
      </c>
      <c r="O64" s="476">
        <f t="shared" si="29"/>
        <v>0</v>
      </c>
      <c r="P64" s="241"/>
    </row>
    <row r="65" spans="2:16" ht="12.5">
      <c r="B65" s="160" t="str">
        <f t="shared" si="4"/>
        <v/>
      </c>
      <c r="C65" s="470">
        <f>IF(D11="","-",+C64+1)</f>
        <v>2055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5"/>
        <v>0</v>
      </c>
      <c r="G65" s="484">
        <f t="shared" si="23"/>
        <v>0</v>
      </c>
      <c r="H65" s="453">
        <f t="shared" si="24"/>
        <v>0</v>
      </c>
      <c r="I65" s="473">
        <f t="shared" si="26"/>
        <v>0</v>
      </c>
      <c r="J65" s="473"/>
      <c r="K65" s="485"/>
      <c r="L65" s="476">
        <f t="shared" si="27"/>
        <v>0</v>
      </c>
      <c r="M65" s="485"/>
      <c r="N65" s="476">
        <f t="shared" si="28"/>
        <v>0</v>
      </c>
      <c r="O65" s="476">
        <f t="shared" si="29"/>
        <v>0</v>
      </c>
      <c r="P65" s="241"/>
    </row>
    <row r="66" spans="2:16" ht="12.5">
      <c r="B66" s="160" t="str">
        <f t="shared" si="4"/>
        <v/>
      </c>
      <c r="C66" s="470">
        <f>IF(D11="","-",+C65+1)</f>
        <v>2056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5"/>
        <v>0</v>
      </c>
      <c r="G66" s="484">
        <f t="shared" si="23"/>
        <v>0</v>
      </c>
      <c r="H66" s="453">
        <f t="shared" si="24"/>
        <v>0</v>
      </c>
      <c r="I66" s="473">
        <f t="shared" si="26"/>
        <v>0</v>
      </c>
      <c r="J66" s="473"/>
      <c r="K66" s="485"/>
      <c r="L66" s="476">
        <f t="shared" si="27"/>
        <v>0</v>
      </c>
      <c r="M66" s="485"/>
      <c r="N66" s="476">
        <f t="shared" si="28"/>
        <v>0</v>
      </c>
      <c r="O66" s="476">
        <f t="shared" si="29"/>
        <v>0</v>
      </c>
      <c r="P66" s="241"/>
    </row>
    <row r="67" spans="2:16" ht="12.5">
      <c r="B67" s="160" t="str">
        <f t="shared" si="4"/>
        <v/>
      </c>
      <c r="C67" s="470">
        <f>IF(D11="","-",+C66+1)</f>
        <v>2057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5"/>
        <v>0</v>
      </c>
      <c r="G67" s="484">
        <f t="shared" si="23"/>
        <v>0</v>
      </c>
      <c r="H67" s="453">
        <f t="shared" si="24"/>
        <v>0</v>
      </c>
      <c r="I67" s="473">
        <f t="shared" si="26"/>
        <v>0</v>
      </c>
      <c r="J67" s="473"/>
      <c r="K67" s="485"/>
      <c r="L67" s="476">
        <f t="shared" si="27"/>
        <v>0</v>
      </c>
      <c r="M67" s="485"/>
      <c r="N67" s="476">
        <f t="shared" si="28"/>
        <v>0</v>
      </c>
      <c r="O67" s="476">
        <f t="shared" si="29"/>
        <v>0</v>
      </c>
      <c r="P67" s="241"/>
    </row>
    <row r="68" spans="2:16" ht="12.5">
      <c r="B68" s="160" t="str">
        <f t="shared" si="4"/>
        <v/>
      </c>
      <c r="C68" s="470">
        <f>IF(D11="","-",+C67+1)</f>
        <v>2058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5"/>
        <v>0</v>
      </c>
      <c r="G68" s="484">
        <f t="shared" si="23"/>
        <v>0</v>
      </c>
      <c r="H68" s="453">
        <f t="shared" si="24"/>
        <v>0</v>
      </c>
      <c r="I68" s="473">
        <f t="shared" si="26"/>
        <v>0</v>
      </c>
      <c r="J68" s="473"/>
      <c r="K68" s="485"/>
      <c r="L68" s="476">
        <f t="shared" si="27"/>
        <v>0</v>
      </c>
      <c r="M68" s="485"/>
      <c r="N68" s="476">
        <f t="shared" si="28"/>
        <v>0</v>
      </c>
      <c r="O68" s="476">
        <f t="shared" si="29"/>
        <v>0</v>
      </c>
      <c r="P68" s="241"/>
    </row>
    <row r="69" spans="2:16" ht="12.5">
      <c r="B69" s="160" t="str">
        <f t="shared" si="4"/>
        <v/>
      </c>
      <c r="C69" s="470">
        <f>IF(D11="","-",+C68+1)</f>
        <v>2059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5"/>
        <v>0</v>
      </c>
      <c r="G69" s="484">
        <f t="shared" si="23"/>
        <v>0</v>
      </c>
      <c r="H69" s="453">
        <f t="shared" si="24"/>
        <v>0</v>
      </c>
      <c r="I69" s="473">
        <f t="shared" si="26"/>
        <v>0</v>
      </c>
      <c r="J69" s="473"/>
      <c r="K69" s="485"/>
      <c r="L69" s="476">
        <f t="shared" si="27"/>
        <v>0</v>
      </c>
      <c r="M69" s="485"/>
      <c r="N69" s="476">
        <f t="shared" si="28"/>
        <v>0</v>
      </c>
      <c r="O69" s="476">
        <f t="shared" si="29"/>
        <v>0</v>
      </c>
      <c r="P69" s="241"/>
    </row>
    <row r="70" spans="2:16" ht="12.5">
      <c r="B70" s="160" t="str">
        <f t="shared" si="4"/>
        <v/>
      </c>
      <c r="C70" s="470">
        <f>IF(D11="","-",+C69+1)</f>
        <v>2060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5"/>
        <v>0</v>
      </c>
      <c r="G70" s="484">
        <f t="shared" si="23"/>
        <v>0</v>
      </c>
      <c r="H70" s="453">
        <f t="shared" si="24"/>
        <v>0</v>
      </c>
      <c r="I70" s="473">
        <f t="shared" si="26"/>
        <v>0</v>
      </c>
      <c r="J70" s="473"/>
      <c r="K70" s="485"/>
      <c r="L70" s="476">
        <f t="shared" si="27"/>
        <v>0</v>
      </c>
      <c r="M70" s="485"/>
      <c r="N70" s="476">
        <f t="shared" si="28"/>
        <v>0</v>
      </c>
      <c r="O70" s="476">
        <f t="shared" si="29"/>
        <v>0</v>
      </c>
      <c r="P70" s="241"/>
    </row>
    <row r="71" spans="2:16" ht="12.5">
      <c r="B71" s="160" t="str">
        <f t="shared" si="4"/>
        <v/>
      </c>
      <c r="C71" s="470">
        <f>IF(D11="","-",+C70+1)</f>
        <v>2061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5"/>
        <v>0</v>
      </c>
      <c r="G71" s="484">
        <f t="shared" si="23"/>
        <v>0</v>
      </c>
      <c r="H71" s="453">
        <f t="shared" si="24"/>
        <v>0</v>
      </c>
      <c r="I71" s="473">
        <f t="shared" si="26"/>
        <v>0</v>
      </c>
      <c r="J71" s="473"/>
      <c r="K71" s="485"/>
      <c r="L71" s="476">
        <f t="shared" si="27"/>
        <v>0</v>
      </c>
      <c r="M71" s="485"/>
      <c r="N71" s="476">
        <f t="shared" si="28"/>
        <v>0</v>
      </c>
      <c r="O71" s="476">
        <f t="shared" si="29"/>
        <v>0</v>
      </c>
      <c r="P71" s="241"/>
    </row>
    <row r="72" spans="2:16" ht="13" thickBot="1">
      <c r="B72" s="160" t="str">
        <f t="shared" si="4"/>
        <v/>
      </c>
      <c r="C72" s="487">
        <f>IF(D11="","-",+C71+1)</f>
        <v>2062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5"/>
        <v>0</v>
      </c>
      <c r="G72" s="488">
        <f t="shared" si="23"/>
        <v>0</v>
      </c>
      <c r="H72" s="488">
        <f t="shared" si="24"/>
        <v>0</v>
      </c>
      <c r="I72" s="491">
        <f t="shared" si="26"/>
        <v>0</v>
      </c>
      <c r="J72" s="473"/>
      <c r="K72" s="492"/>
      <c r="L72" s="493">
        <f t="shared" si="27"/>
        <v>0</v>
      </c>
      <c r="M72" s="492"/>
      <c r="N72" s="493">
        <f t="shared" si="28"/>
        <v>0</v>
      </c>
      <c r="O72" s="493">
        <f t="shared" si="29"/>
        <v>0</v>
      </c>
      <c r="P72" s="241"/>
    </row>
    <row r="73" spans="2:16" ht="12.5">
      <c r="C73" s="345" t="s">
        <v>77</v>
      </c>
      <c r="D73" s="346"/>
      <c r="E73" s="346">
        <f>SUM(E17:E72)</f>
        <v>72551.000000000029</v>
      </c>
      <c r="F73" s="346"/>
      <c r="G73" s="346">
        <f>SUM(G17:G72)</f>
        <v>280784.97876851342</v>
      </c>
      <c r="H73" s="346">
        <f>SUM(H17:H72)</f>
        <v>280784.97876851342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9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7517.475137068097</v>
      </c>
      <c r="N87" s="506">
        <f>IF(J92&lt;D11,0,VLOOKUP(J92,C17:O72,11))</f>
        <v>7517.475137068097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7461.0630272870476</v>
      </c>
      <c r="N88" s="510">
        <f>IF(J92&lt;D11,0,VLOOKUP(J92,C99:P154,7))</f>
        <v>7461.0630272870476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Tulsa Southeast Upgrade (repl switches)*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-56.412109781049367</v>
      </c>
      <c r="N89" s="515">
        <f>+N88-N87</f>
        <v>-56.412109781049367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TP2004033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72551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4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1909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2007</v>
      </c>
      <c r="D99" s="471">
        <v>0</v>
      </c>
      <c r="E99" s="478">
        <v>0</v>
      </c>
      <c r="F99" s="477">
        <v>72551</v>
      </c>
      <c r="G99" s="535">
        <v>36276</v>
      </c>
      <c r="H99" s="536">
        <v>5762</v>
      </c>
      <c r="I99" s="537">
        <v>5762</v>
      </c>
      <c r="J99" s="476">
        <f t="shared" ref="J99:J130" si="30">+I99-H99</f>
        <v>0</v>
      </c>
      <c r="K99" s="476"/>
      <c r="L99" s="552">
        <v>0</v>
      </c>
      <c r="M99" s="475">
        <f t="shared" ref="M99:M130" si="31">IF(L99&lt;&gt;0,+H99-L99,0)</f>
        <v>0</v>
      </c>
      <c r="N99" s="552">
        <v>0</v>
      </c>
      <c r="O99" s="475">
        <f t="shared" ref="O99:O130" si="32">IF(N99&lt;&gt;0,+I99-N99,0)</f>
        <v>0</v>
      </c>
      <c r="P99" s="475">
        <f t="shared" ref="P99:P130" si="33">+O99-M99</f>
        <v>0</v>
      </c>
    </row>
    <row r="100" spans="1:16" ht="12.5">
      <c r="B100" s="160" t="str">
        <f>IF(D100=F99,"","IU")</f>
        <v/>
      </c>
      <c r="C100" s="470">
        <f>IF(D93="","-",+C99+1)</f>
        <v>2008</v>
      </c>
      <c r="D100" s="471">
        <v>72551</v>
      </c>
      <c r="E100" s="559">
        <v>1369</v>
      </c>
      <c r="F100" s="477">
        <v>71182</v>
      </c>
      <c r="G100" s="477">
        <v>71867</v>
      </c>
      <c r="H100" s="478">
        <v>12785</v>
      </c>
      <c r="I100" s="479">
        <v>12785</v>
      </c>
      <c r="J100" s="476">
        <f t="shared" si="30"/>
        <v>0</v>
      </c>
      <c r="K100" s="476"/>
      <c r="L100" s="474">
        <v>12785</v>
      </c>
      <c r="M100" s="476">
        <f t="shared" si="31"/>
        <v>0</v>
      </c>
      <c r="N100" s="474">
        <v>12785</v>
      </c>
      <c r="O100" s="476">
        <f t="shared" si="32"/>
        <v>0</v>
      </c>
      <c r="P100" s="476">
        <f t="shared" si="33"/>
        <v>0</v>
      </c>
    </row>
    <row r="101" spans="1:16" ht="12.5">
      <c r="B101" s="160" t="str">
        <f t="shared" ref="B101:B154" si="34">IF(D101=F100,"","IU")</f>
        <v/>
      </c>
      <c r="C101" s="470">
        <f>IF(D93="","-",+C100+1)</f>
        <v>2009</v>
      </c>
      <c r="D101" s="471">
        <v>71182</v>
      </c>
      <c r="E101" s="478">
        <v>1296</v>
      </c>
      <c r="F101" s="477">
        <v>69886</v>
      </c>
      <c r="G101" s="477">
        <v>70534</v>
      </c>
      <c r="H101" s="478">
        <v>11608.65494705257</v>
      </c>
      <c r="I101" s="479">
        <v>11608.65494705257</v>
      </c>
      <c r="J101" s="476">
        <f t="shared" si="30"/>
        <v>0</v>
      </c>
      <c r="K101" s="476"/>
      <c r="L101" s="538">
        <f t="shared" ref="L101:L106" si="35">H101</f>
        <v>11608.65494705257</v>
      </c>
      <c r="M101" s="539">
        <f t="shared" si="31"/>
        <v>0</v>
      </c>
      <c r="N101" s="538">
        <f t="shared" ref="N101:N106" si="36">I101</f>
        <v>11608.65494705257</v>
      </c>
      <c r="O101" s="476">
        <f t="shared" si="32"/>
        <v>0</v>
      </c>
      <c r="P101" s="476">
        <f t="shared" si="33"/>
        <v>0</v>
      </c>
    </row>
    <row r="102" spans="1:16" ht="12.5">
      <c r="B102" s="160" t="str">
        <f t="shared" si="34"/>
        <v/>
      </c>
      <c r="C102" s="470">
        <f>IF(D93="","-",+C101+1)</f>
        <v>2010</v>
      </c>
      <c r="D102" s="471">
        <v>69886</v>
      </c>
      <c r="E102" s="478">
        <v>1423</v>
      </c>
      <c r="F102" s="477">
        <v>68463</v>
      </c>
      <c r="G102" s="477">
        <v>69174.5</v>
      </c>
      <c r="H102" s="478">
        <v>12547.312556925655</v>
      </c>
      <c r="I102" s="479">
        <v>12547.312556925655</v>
      </c>
      <c r="J102" s="476">
        <f t="shared" si="30"/>
        <v>0</v>
      </c>
      <c r="K102" s="476"/>
      <c r="L102" s="538">
        <f t="shared" si="35"/>
        <v>12547.312556925655</v>
      </c>
      <c r="M102" s="539">
        <f t="shared" si="31"/>
        <v>0</v>
      </c>
      <c r="N102" s="538">
        <f t="shared" si="36"/>
        <v>12547.312556925655</v>
      </c>
      <c r="O102" s="476">
        <f t="shared" si="32"/>
        <v>0</v>
      </c>
      <c r="P102" s="476">
        <f t="shared" si="33"/>
        <v>0</v>
      </c>
    </row>
    <row r="103" spans="1:16" ht="12.5">
      <c r="B103" s="160" t="str">
        <f t="shared" si="34"/>
        <v/>
      </c>
      <c r="C103" s="470">
        <f>IF(D93="","-",+C102+1)</f>
        <v>2011</v>
      </c>
      <c r="D103" s="471">
        <v>68463</v>
      </c>
      <c r="E103" s="478">
        <v>1395</v>
      </c>
      <c r="F103" s="477">
        <v>67068</v>
      </c>
      <c r="G103" s="477">
        <v>67765.5</v>
      </c>
      <c r="H103" s="478">
        <v>10869.52752826227</v>
      </c>
      <c r="I103" s="479">
        <v>10869.52752826227</v>
      </c>
      <c r="J103" s="476">
        <f t="shared" si="30"/>
        <v>0</v>
      </c>
      <c r="K103" s="476"/>
      <c r="L103" s="538">
        <f t="shared" si="35"/>
        <v>10869.52752826227</v>
      </c>
      <c r="M103" s="539">
        <f t="shared" si="31"/>
        <v>0</v>
      </c>
      <c r="N103" s="538">
        <f t="shared" si="36"/>
        <v>10869.52752826227</v>
      </c>
      <c r="O103" s="476">
        <f t="shared" si="32"/>
        <v>0</v>
      </c>
      <c r="P103" s="476">
        <f t="shared" si="33"/>
        <v>0</v>
      </c>
    </row>
    <row r="104" spans="1:16" ht="12.5">
      <c r="B104" s="160" t="str">
        <f t="shared" si="34"/>
        <v/>
      </c>
      <c r="C104" s="470">
        <f>IF(D93="","-",+C103+1)</f>
        <v>2012</v>
      </c>
      <c r="D104" s="471">
        <v>67068</v>
      </c>
      <c r="E104" s="478">
        <v>1395</v>
      </c>
      <c r="F104" s="477">
        <v>65673</v>
      </c>
      <c r="G104" s="477">
        <v>66370.5</v>
      </c>
      <c r="H104" s="478">
        <v>10942.760254640152</v>
      </c>
      <c r="I104" s="479">
        <v>10942.760254640152</v>
      </c>
      <c r="J104" s="476">
        <v>0</v>
      </c>
      <c r="K104" s="476"/>
      <c r="L104" s="538">
        <f t="shared" si="35"/>
        <v>10942.760254640152</v>
      </c>
      <c r="M104" s="539">
        <f t="shared" ref="M104:M109" si="37">IF(L104&lt;&gt;0,+H104-L104,0)</f>
        <v>0</v>
      </c>
      <c r="N104" s="538">
        <f t="shared" si="36"/>
        <v>10942.760254640152</v>
      </c>
      <c r="O104" s="476">
        <f t="shared" ref="O104:O109" si="38">IF(N104&lt;&gt;0,+I104-N104,0)</f>
        <v>0</v>
      </c>
      <c r="P104" s="476">
        <f t="shared" ref="P104:P109" si="39">+O104-M104</f>
        <v>0</v>
      </c>
    </row>
    <row r="105" spans="1:16" ht="12.5">
      <c r="B105" s="160" t="str">
        <f t="shared" si="34"/>
        <v/>
      </c>
      <c r="C105" s="470">
        <f>IF(D93="","-",+C104+1)</f>
        <v>2013</v>
      </c>
      <c r="D105" s="471">
        <v>65673</v>
      </c>
      <c r="E105" s="478">
        <v>1395</v>
      </c>
      <c r="F105" s="477">
        <v>64278</v>
      </c>
      <c r="G105" s="477">
        <v>64975.5</v>
      </c>
      <c r="H105" s="478">
        <v>10747.547086020993</v>
      </c>
      <c r="I105" s="479">
        <v>10747.547086020993</v>
      </c>
      <c r="J105" s="476">
        <v>0</v>
      </c>
      <c r="K105" s="476"/>
      <c r="L105" s="538">
        <f t="shared" si="35"/>
        <v>10747.547086020993</v>
      </c>
      <c r="M105" s="539">
        <f t="shared" si="37"/>
        <v>0</v>
      </c>
      <c r="N105" s="538">
        <f t="shared" si="36"/>
        <v>10747.547086020993</v>
      </c>
      <c r="O105" s="476">
        <f t="shared" si="38"/>
        <v>0</v>
      </c>
      <c r="P105" s="476">
        <f t="shared" si="39"/>
        <v>0</v>
      </c>
    </row>
    <row r="106" spans="1:16" ht="12.5">
      <c r="B106" s="160" t="str">
        <f t="shared" si="34"/>
        <v/>
      </c>
      <c r="C106" s="470">
        <f>IF(D93="","-",+C105+1)</f>
        <v>2014</v>
      </c>
      <c r="D106" s="471">
        <v>64278</v>
      </c>
      <c r="E106" s="478">
        <v>1395</v>
      </c>
      <c r="F106" s="477">
        <v>62883</v>
      </c>
      <c r="G106" s="477">
        <v>63580.5</v>
      </c>
      <c r="H106" s="478">
        <v>10334.158398344916</v>
      </c>
      <c r="I106" s="479">
        <v>10334.158398344916</v>
      </c>
      <c r="J106" s="476">
        <v>0</v>
      </c>
      <c r="K106" s="476"/>
      <c r="L106" s="538">
        <f t="shared" si="35"/>
        <v>10334.158398344916</v>
      </c>
      <c r="M106" s="539">
        <f t="shared" si="37"/>
        <v>0</v>
      </c>
      <c r="N106" s="538">
        <f t="shared" si="36"/>
        <v>10334.158398344916</v>
      </c>
      <c r="O106" s="476">
        <f t="shared" si="38"/>
        <v>0</v>
      </c>
      <c r="P106" s="476">
        <f t="shared" si="39"/>
        <v>0</v>
      </c>
    </row>
    <row r="107" spans="1:16" ht="12.5">
      <c r="B107" s="160" t="str">
        <f t="shared" si="34"/>
        <v/>
      </c>
      <c r="C107" s="470">
        <f>IF(D93="","-",+C106+1)</f>
        <v>2015</v>
      </c>
      <c r="D107" s="471">
        <v>62883</v>
      </c>
      <c r="E107" s="478">
        <v>1395</v>
      </c>
      <c r="F107" s="477">
        <v>61488</v>
      </c>
      <c r="G107" s="477">
        <v>62185.5</v>
      </c>
      <c r="H107" s="478">
        <v>9879.7114789405332</v>
      </c>
      <c r="I107" s="479">
        <v>9879.7114789405332</v>
      </c>
      <c r="J107" s="476">
        <f t="shared" si="30"/>
        <v>0</v>
      </c>
      <c r="K107" s="476"/>
      <c r="L107" s="538">
        <f t="shared" ref="L107:L112" si="40">H107</f>
        <v>9879.7114789405332</v>
      </c>
      <c r="M107" s="539">
        <f t="shared" si="37"/>
        <v>0</v>
      </c>
      <c r="N107" s="538">
        <f t="shared" ref="N107:N112" si="41">I107</f>
        <v>9879.7114789405332</v>
      </c>
      <c r="O107" s="476">
        <f t="shared" si="38"/>
        <v>0</v>
      </c>
      <c r="P107" s="476">
        <f t="shared" si="39"/>
        <v>0</v>
      </c>
    </row>
    <row r="108" spans="1:16" ht="12.5">
      <c r="B108" s="160" t="str">
        <f t="shared" si="34"/>
        <v/>
      </c>
      <c r="C108" s="470">
        <f>IF(D93="","-",+C107+1)</f>
        <v>2016</v>
      </c>
      <c r="D108" s="471">
        <v>61488</v>
      </c>
      <c r="E108" s="478">
        <v>1577</v>
      </c>
      <c r="F108" s="477">
        <v>59911</v>
      </c>
      <c r="G108" s="477">
        <v>60699.5</v>
      </c>
      <c r="H108" s="478">
        <v>9402.1214987986186</v>
      </c>
      <c r="I108" s="479">
        <v>9402.1214987986186</v>
      </c>
      <c r="J108" s="476">
        <f t="shared" si="30"/>
        <v>0</v>
      </c>
      <c r="K108" s="476"/>
      <c r="L108" s="538">
        <f t="shared" si="40"/>
        <v>9402.1214987986186</v>
      </c>
      <c r="M108" s="539">
        <f t="shared" si="37"/>
        <v>0</v>
      </c>
      <c r="N108" s="538">
        <f t="shared" si="41"/>
        <v>9402.1214987986186</v>
      </c>
      <c r="O108" s="476">
        <f t="shared" si="38"/>
        <v>0</v>
      </c>
      <c r="P108" s="476">
        <f t="shared" si="39"/>
        <v>0</v>
      </c>
    </row>
    <row r="109" spans="1:16" ht="12.5">
      <c r="B109" s="160" t="str">
        <f t="shared" si="34"/>
        <v/>
      </c>
      <c r="C109" s="470">
        <f>IF(D93="","-",+C108+1)</f>
        <v>2017</v>
      </c>
      <c r="D109" s="471">
        <v>59911</v>
      </c>
      <c r="E109" s="478">
        <v>1577</v>
      </c>
      <c r="F109" s="477">
        <v>58334</v>
      </c>
      <c r="G109" s="477">
        <v>59122.5</v>
      </c>
      <c r="H109" s="478">
        <v>9076.8382024367129</v>
      </c>
      <c r="I109" s="479">
        <v>9076.8382024367129</v>
      </c>
      <c r="J109" s="476">
        <f t="shared" si="30"/>
        <v>0</v>
      </c>
      <c r="K109" s="476"/>
      <c r="L109" s="538">
        <f t="shared" si="40"/>
        <v>9076.8382024367129</v>
      </c>
      <c r="M109" s="539">
        <f t="shared" si="37"/>
        <v>0</v>
      </c>
      <c r="N109" s="538">
        <f t="shared" si="41"/>
        <v>9076.8382024367129</v>
      </c>
      <c r="O109" s="476">
        <f t="shared" si="38"/>
        <v>0</v>
      </c>
      <c r="P109" s="476">
        <f t="shared" si="39"/>
        <v>0</v>
      </c>
    </row>
    <row r="110" spans="1:16" ht="12.5">
      <c r="B110" s="160" t="str">
        <f t="shared" si="34"/>
        <v/>
      </c>
      <c r="C110" s="470">
        <f>IF(D93="","-",+C109+1)</f>
        <v>2018</v>
      </c>
      <c r="D110" s="471">
        <v>58334</v>
      </c>
      <c r="E110" s="478">
        <v>1687</v>
      </c>
      <c r="F110" s="477">
        <v>56647</v>
      </c>
      <c r="G110" s="477">
        <v>57490.5</v>
      </c>
      <c r="H110" s="478">
        <v>7593.3191046629281</v>
      </c>
      <c r="I110" s="479">
        <v>7593.3191046629281</v>
      </c>
      <c r="J110" s="476">
        <f t="shared" si="30"/>
        <v>0</v>
      </c>
      <c r="K110" s="476"/>
      <c r="L110" s="538">
        <f t="shared" si="40"/>
        <v>7593.3191046629281</v>
      </c>
      <c r="M110" s="539">
        <f t="shared" ref="M110" si="42">IF(L110&lt;&gt;0,+H110-L110,0)</f>
        <v>0</v>
      </c>
      <c r="N110" s="538">
        <f t="shared" si="41"/>
        <v>7593.3191046629281</v>
      </c>
      <c r="O110" s="476">
        <f t="shared" ref="O110" si="43">IF(N110&lt;&gt;0,+I110-N110,0)</f>
        <v>0</v>
      </c>
      <c r="P110" s="476">
        <f t="shared" ref="P110" si="44">+O110-M110</f>
        <v>0</v>
      </c>
    </row>
    <row r="111" spans="1:16" ht="12.5">
      <c r="B111" s="160" t="str">
        <f t="shared" si="34"/>
        <v/>
      </c>
      <c r="C111" s="470">
        <f>IF(D93="","-",+C110+1)</f>
        <v>2019</v>
      </c>
      <c r="D111" s="471">
        <v>56647</v>
      </c>
      <c r="E111" s="478">
        <v>1770</v>
      </c>
      <c r="F111" s="477">
        <v>54877</v>
      </c>
      <c r="G111" s="477">
        <v>55762</v>
      </c>
      <c r="H111" s="478">
        <v>7519.8443223081076</v>
      </c>
      <c r="I111" s="479">
        <v>7519.8443223081076</v>
      </c>
      <c r="J111" s="476">
        <f t="shared" si="30"/>
        <v>0</v>
      </c>
      <c r="K111" s="476"/>
      <c r="L111" s="538">
        <f t="shared" si="40"/>
        <v>7519.8443223081076</v>
      </c>
      <c r="M111" s="539">
        <f t="shared" ref="M111" si="45">IF(L111&lt;&gt;0,+H111-L111,0)</f>
        <v>0</v>
      </c>
      <c r="N111" s="538">
        <f t="shared" si="41"/>
        <v>7519.8443223081076</v>
      </c>
      <c r="O111" s="476">
        <f t="shared" si="32"/>
        <v>0</v>
      </c>
      <c r="P111" s="476">
        <f t="shared" si="33"/>
        <v>0</v>
      </c>
    </row>
    <row r="112" spans="1:16" ht="12.5">
      <c r="B112" s="160" t="str">
        <f t="shared" si="34"/>
        <v/>
      </c>
      <c r="C112" s="470">
        <f>IF(D93="","-",+C111+1)</f>
        <v>2020</v>
      </c>
      <c r="D112" s="471">
        <v>54877</v>
      </c>
      <c r="E112" s="478">
        <v>1687</v>
      </c>
      <c r="F112" s="477">
        <v>53190</v>
      </c>
      <c r="G112" s="477">
        <v>54033.5</v>
      </c>
      <c r="H112" s="478">
        <v>7916.9139971406776</v>
      </c>
      <c r="I112" s="479">
        <v>7916.9139971406776</v>
      </c>
      <c r="J112" s="476">
        <f t="shared" si="30"/>
        <v>0</v>
      </c>
      <c r="K112" s="476"/>
      <c r="L112" s="538">
        <f t="shared" si="40"/>
        <v>7916.9139971406776</v>
      </c>
      <c r="M112" s="539">
        <f t="shared" ref="M112" si="46">IF(L112&lt;&gt;0,+H112-L112,0)</f>
        <v>0</v>
      </c>
      <c r="N112" s="538">
        <f t="shared" si="41"/>
        <v>7916.9139971406776</v>
      </c>
      <c r="O112" s="476">
        <f t="shared" si="32"/>
        <v>0</v>
      </c>
      <c r="P112" s="476">
        <f t="shared" si="33"/>
        <v>0</v>
      </c>
    </row>
    <row r="113" spans="2:16" ht="12.5">
      <c r="B113" s="160" t="str">
        <f t="shared" si="34"/>
        <v/>
      </c>
      <c r="C113" s="470">
        <f>IF(D93="","-",+C112+1)</f>
        <v>2021</v>
      </c>
      <c r="D113" s="471">
        <v>53190</v>
      </c>
      <c r="E113" s="478">
        <v>1770</v>
      </c>
      <c r="F113" s="477">
        <v>51420</v>
      </c>
      <c r="G113" s="477">
        <v>52305</v>
      </c>
      <c r="H113" s="478">
        <v>7721.9320395107143</v>
      </c>
      <c r="I113" s="479">
        <v>7721.9320395107143</v>
      </c>
      <c r="J113" s="476">
        <f t="shared" si="30"/>
        <v>0</v>
      </c>
      <c r="K113" s="476"/>
      <c r="L113" s="538">
        <f t="shared" ref="L113" si="47">H113</f>
        <v>7721.9320395107143</v>
      </c>
      <c r="M113" s="539">
        <f t="shared" ref="M113" si="48">IF(L113&lt;&gt;0,+H113-L113,0)</f>
        <v>0</v>
      </c>
      <c r="N113" s="538">
        <f t="shared" ref="N113" si="49">I113</f>
        <v>7721.9320395107143</v>
      </c>
      <c r="O113" s="476">
        <f t="shared" si="32"/>
        <v>0</v>
      </c>
      <c r="P113" s="476">
        <f t="shared" si="33"/>
        <v>0</v>
      </c>
    </row>
    <row r="114" spans="2:16" ht="12.5">
      <c r="B114" s="160" t="str">
        <f t="shared" si="34"/>
        <v/>
      </c>
      <c r="C114" s="470">
        <f>IF(D93="","-",+C113+1)</f>
        <v>2022</v>
      </c>
      <c r="D114" s="471">
        <v>51420</v>
      </c>
      <c r="E114" s="478">
        <v>1860</v>
      </c>
      <c r="F114" s="477">
        <v>49560</v>
      </c>
      <c r="G114" s="477">
        <v>50490</v>
      </c>
      <c r="H114" s="478">
        <v>7423.1221436915575</v>
      </c>
      <c r="I114" s="479">
        <v>7423.1221436915575</v>
      </c>
      <c r="J114" s="476">
        <f t="shared" si="30"/>
        <v>0</v>
      </c>
      <c r="K114" s="476"/>
      <c r="L114" s="538">
        <f t="shared" ref="L114" si="50">H114</f>
        <v>7423.1221436915575</v>
      </c>
      <c r="M114" s="539">
        <f t="shared" ref="M114" si="51">IF(L114&lt;&gt;0,+H114-L114,0)</f>
        <v>0</v>
      </c>
      <c r="N114" s="538">
        <f t="shared" ref="N114" si="52">I114</f>
        <v>7423.1221436915575</v>
      </c>
      <c r="O114" s="476">
        <f t="shared" ref="O114" si="53">IF(N114&lt;&gt;0,+I114-N114,0)</f>
        <v>0</v>
      </c>
      <c r="P114" s="476">
        <f t="shared" ref="P114" si="54">+O114-M114</f>
        <v>0</v>
      </c>
    </row>
    <row r="115" spans="2:16" ht="12.5">
      <c r="B115" s="160" t="str">
        <f t="shared" si="34"/>
        <v/>
      </c>
      <c r="C115" s="470">
        <f>IF(D93="","-",+C114+1)</f>
        <v>2023</v>
      </c>
      <c r="D115" s="345">
        <f>IF(F114+SUM(E$99:E114)=D$92,F114,D$92-SUM(E$99:E114))</f>
        <v>49560</v>
      </c>
      <c r="E115" s="484">
        <f>IF(+J96&lt;F114,J96,D115)</f>
        <v>1909</v>
      </c>
      <c r="F115" s="483">
        <f t="shared" ref="F115:F154" si="55">+D115-E115</f>
        <v>47651</v>
      </c>
      <c r="G115" s="483">
        <f t="shared" ref="G115:G154" si="56">+(F115+D115)/2</f>
        <v>48605.5</v>
      </c>
      <c r="H115" s="484">
        <f t="shared" ref="H115:H153" si="57">(D115+F115)/2*J$94+E115</f>
        <v>7461.0630272870476</v>
      </c>
      <c r="I115" s="540">
        <f t="shared" ref="I115:I153" si="58">+J$95*G115+E115</f>
        <v>7461.0630272870476</v>
      </c>
      <c r="J115" s="476">
        <f t="shared" si="30"/>
        <v>0</v>
      </c>
      <c r="K115" s="476"/>
      <c r="L115" s="485"/>
      <c r="M115" s="476">
        <f t="shared" si="31"/>
        <v>0</v>
      </c>
      <c r="N115" s="485"/>
      <c r="O115" s="476">
        <f t="shared" si="32"/>
        <v>0</v>
      </c>
      <c r="P115" s="476">
        <f t="shared" si="33"/>
        <v>0</v>
      </c>
    </row>
    <row r="116" spans="2:16" ht="12.5">
      <c r="B116" s="160" t="str">
        <f t="shared" si="34"/>
        <v/>
      </c>
      <c r="C116" s="470">
        <f>IF(D93="","-",+C115+1)</f>
        <v>2024</v>
      </c>
      <c r="D116" s="345">
        <f>IF(F115+SUM(E$99:E115)=D$92,F115,D$92-SUM(E$99:E115))</f>
        <v>47651</v>
      </c>
      <c r="E116" s="484">
        <f>IF(+J96&lt;F115,J96,D116)</f>
        <v>1909</v>
      </c>
      <c r="F116" s="483">
        <f t="shared" si="55"/>
        <v>45742</v>
      </c>
      <c r="G116" s="483">
        <f t="shared" si="56"/>
        <v>46696.5</v>
      </c>
      <c r="H116" s="484">
        <f t="shared" si="57"/>
        <v>7243.0035830041797</v>
      </c>
      <c r="I116" s="540">
        <f t="shared" si="58"/>
        <v>7243.0035830041797</v>
      </c>
      <c r="J116" s="476">
        <f t="shared" si="30"/>
        <v>0</v>
      </c>
      <c r="K116" s="476"/>
      <c r="L116" s="485"/>
      <c r="M116" s="476">
        <f t="shared" si="31"/>
        <v>0</v>
      </c>
      <c r="N116" s="485"/>
      <c r="O116" s="476">
        <f t="shared" si="32"/>
        <v>0</v>
      </c>
      <c r="P116" s="476">
        <f t="shared" si="33"/>
        <v>0</v>
      </c>
    </row>
    <row r="117" spans="2:16" ht="12.5">
      <c r="B117" s="160" t="str">
        <f t="shared" si="34"/>
        <v/>
      </c>
      <c r="C117" s="470">
        <f>IF(D93="","-",+C116+1)</f>
        <v>2025</v>
      </c>
      <c r="D117" s="345">
        <f>IF(F116+SUM(E$99:E116)=D$92,F116,D$92-SUM(E$99:E116))</f>
        <v>45742</v>
      </c>
      <c r="E117" s="484">
        <f>IF(+J96&lt;F116,J96,D117)</f>
        <v>1909</v>
      </c>
      <c r="F117" s="483">
        <f t="shared" si="55"/>
        <v>43833</v>
      </c>
      <c r="G117" s="483">
        <f t="shared" si="56"/>
        <v>44787.5</v>
      </c>
      <c r="H117" s="484">
        <f t="shared" si="57"/>
        <v>7024.944138721311</v>
      </c>
      <c r="I117" s="540">
        <f t="shared" si="58"/>
        <v>7024.944138721311</v>
      </c>
      <c r="J117" s="476">
        <f t="shared" si="30"/>
        <v>0</v>
      </c>
      <c r="K117" s="476"/>
      <c r="L117" s="485"/>
      <c r="M117" s="476">
        <f t="shared" si="31"/>
        <v>0</v>
      </c>
      <c r="N117" s="485"/>
      <c r="O117" s="476">
        <f t="shared" si="32"/>
        <v>0</v>
      </c>
      <c r="P117" s="476">
        <f t="shared" si="33"/>
        <v>0</v>
      </c>
    </row>
    <row r="118" spans="2:16" ht="12.5">
      <c r="B118" s="160" t="str">
        <f t="shared" si="34"/>
        <v/>
      </c>
      <c r="C118" s="470">
        <f>IF(D93="","-",+C117+1)</f>
        <v>2026</v>
      </c>
      <c r="D118" s="345">
        <f>IF(F117+SUM(E$99:E117)=D$92,F117,D$92-SUM(E$99:E117))</f>
        <v>43833</v>
      </c>
      <c r="E118" s="484">
        <f>IF(+J96&lt;F117,J96,D118)</f>
        <v>1909</v>
      </c>
      <c r="F118" s="483">
        <f t="shared" si="55"/>
        <v>41924</v>
      </c>
      <c r="G118" s="483">
        <f t="shared" si="56"/>
        <v>42878.5</v>
      </c>
      <c r="H118" s="484">
        <f t="shared" si="57"/>
        <v>6806.8846944384422</v>
      </c>
      <c r="I118" s="540">
        <f t="shared" si="58"/>
        <v>6806.8846944384422</v>
      </c>
      <c r="J118" s="476">
        <f t="shared" si="30"/>
        <v>0</v>
      </c>
      <c r="K118" s="476"/>
      <c r="L118" s="485"/>
      <c r="M118" s="476">
        <f t="shared" si="31"/>
        <v>0</v>
      </c>
      <c r="N118" s="485"/>
      <c r="O118" s="476">
        <f t="shared" si="32"/>
        <v>0</v>
      </c>
      <c r="P118" s="476">
        <f t="shared" si="33"/>
        <v>0</v>
      </c>
    </row>
    <row r="119" spans="2:16" ht="12.5">
      <c r="B119" s="160" t="str">
        <f t="shared" si="34"/>
        <v/>
      </c>
      <c r="C119" s="470">
        <f>IF(D93="","-",+C118+1)</f>
        <v>2027</v>
      </c>
      <c r="D119" s="345">
        <f>IF(F118+SUM(E$99:E118)=D$92,F118,D$92-SUM(E$99:E118))</f>
        <v>41924</v>
      </c>
      <c r="E119" s="484">
        <f>IF(+J96&lt;F118,J96,D119)</f>
        <v>1909</v>
      </c>
      <c r="F119" s="483">
        <f t="shared" si="55"/>
        <v>40015</v>
      </c>
      <c r="G119" s="483">
        <f t="shared" si="56"/>
        <v>40969.5</v>
      </c>
      <c r="H119" s="484">
        <f t="shared" si="57"/>
        <v>6588.8252501555735</v>
      </c>
      <c r="I119" s="540">
        <f t="shared" si="58"/>
        <v>6588.8252501555735</v>
      </c>
      <c r="J119" s="476">
        <f t="shared" si="30"/>
        <v>0</v>
      </c>
      <c r="K119" s="476"/>
      <c r="L119" s="485"/>
      <c r="M119" s="476">
        <f t="shared" si="31"/>
        <v>0</v>
      </c>
      <c r="N119" s="485"/>
      <c r="O119" s="476">
        <f t="shared" si="32"/>
        <v>0</v>
      </c>
      <c r="P119" s="476">
        <f t="shared" si="33"/>
        <v>0</v>
      </c>
    </row>
    <row r="120" spans="2:16" ht="12.5">
      <c r="B120" s="160" t="str">
        <f t="shared" si="34"/>
        <v/>
      </c>
      <c r="C120" s="470">
        <f>IF(D93="","-",+C119+1)</f>
        <v>2028</v>
      </c>
      <c r="D120" s="345">
        <f>IF(F119+SUM(E$99:E119)=D$92,F119,D$92-SUM(E$99:E119))</f>
        <v>40015</v>
      </c>
      <c r="E120" s="484">
        <f>IF(+J96&lt;F119,J96,D120)</f>
        <v>1909</v>
      </c>
      <c r="F120" s="483">
        <f t="shared" si="55"/>
        <v>38106</v>
      </c>
      <c r="G120" s="483">
        <f t="shared" si="56"/>
        <v>39060.5</v>
      </c>
      <c r="H120" s="484">
        <f t="shared" si="57"/>
        <v>6370.7658058727047</v>
      </c>
      <c r="I120" s="540">
        <f t="shared" si="58"/>
        <v>6370.7658058727047</v>
      </c>
      <c r="J120" s="476">
        <f t="shared" si="30"/>
        <v>0</v>
      </c>
      <c r="K120" s="476"/>
      <c r="L120" s="485"/>
      <c r="M120" s="476">
        <f t="shared" si="31"/>
        <v>0</v>
      </c>
      <c r="N120" s="485"/>
      <c r="O120" s="476">
        <f t="shared" si="32"/>
        <v>0</v>
      </c>
      <c r="P120" s="476">
        <f t="shared" si="33"/>
        <v>0</v>
      </c>
    </row>
    <row r="121" spans="2:16" ht="12.5">
      <c r="B121" s="160" t="str">
        <f t="shared" si="34"/>
        <v/>
      </c>
      <c r="C121" s="470">
        <f>IF(D93="","-",+C120+1)</f>
        <v>2029</v>
      </c>
      <c r="D121" s="345">
        <f>IF(F120+SUM(E$99:E120)=D$92,F120,D$92-SUM(E$99:E120))</f>
        <v>38106</v>
      </c>
      <c r="E121" s="484">
        <f>IF(+J96&lt;F120,J96,D121)</f>
        <v>1909</v>
      </c>
      <c r="F121" s="483">
        <f t="shared" si="55"/>
        <v>36197</v>
      </c>
      <c r="G121" s="483">
        <f t="shared" si="56"/>
        <v>37151.5</v>
      </c>
      <c r="H121" s="484">
        <f t="shared" si="57"/>
        <v>6152.706361589836</v>
      </c>
      <c r="I121" s="540">
        <f t="shared" si="58"/>
        <v>6152.706361589836</v>
      </c>
      <c r="J121" s="476">
        <f t="shared" si="30"/>
        <v>0</v>
      </c>
      <c r="K121" s="476"/>
      <c r="L121" s="485"/>
      <c r="M121" s="476">
        <f t="shared" si="31"/>
        <v>0</v>
      </c>
      <c r="N121" s="485"/>
      <c r="O121" s="476">
        <f t="shared" si="32"/>
        <v>0</v>
      </c>
      <c r="P121" s="476">
        <f t="shared" si="33"/>
        <v>0</v>
      </c>
    </row>
    <row r="122" spans="2:16" ht="12.5">
      <c r="B122" s="160" t="str">
        <f t="shared" si="34"/>
        <v/>
      </c>
      <c r="C122" s="470">
        <f>IF(D93="","-",+C121+1)</f>
        <v>2030</v>
      </c>
      <c r="D122" s="345">
        <f>IF(F121+SUM(E$99:E121)=D$92,F121,D$92-SUM(E$99:E121))</f>
        <v>36197</v>
      </c>
      <c r="E122" s="484">
        <f>IF(+J96&lt;F121,J96,D122)</f>
        <v>1909</v>
      </c>
      <c r="F122" s="483">
        <f t="shared" si="55"/>
        <v>34288</v>
      </c>
      <c r="G122" s="483">
        <f t="shared" si="56"/>
        <v>35242.5</v>
      </c>
      <c r="H122" s="484">
        <f t="shared" si="57"/>
        <v>5934.6469173069672</v>
      </c>
      <c r="I122" s="540">
        <f t="shared" si="58"/>
        <v>5934.6469173069672</v>
      </c>
      <c r="J122" s="476">
        <f t="shared" si="30"/>
        <v>0</v>
      </c>
      <c r="K122" s="476"/>
      <c r="L122" s="485"/>
      <c r="M122" s="476">
        <f t="shared" si="31"/>
        <v>0</v>
      </c>
      <c r="N122" s="485"/>
      <c r="O122" s="476">
        <f t="shared" si="32"/>
        <v>0</v>
      </c>
      <c r="P122" s="476">
        <f t="shared" si="33"/>
        <v>0</v>
      </c>
    </row>
    <row r="123" spans="2:16" ht="12.5">
      <c r="B123" s="160" t="str">
        <f t="shared" si="34"/>
        <v/>
      </c>
      <c r="C123" s="470">
        <f>IF(D93="","-",+C122+1)</f>
        <v>2031</v>
      </c>
      <c r="D123" s="345">
        <f>IF(F122+SUM(E$99:E122)=D$92,F122,D$92-SUM(E$99:E122))</f>
        <v>34288</v>
      </c>
      <c r="E123" s="484">
        <f>IF(+J96&lt;F122,J96,D123)</f>
        <v>1909</v>
      </c>
      <c r="F123" s="483">
        <f t="shared" si="55"/>
        <v>32379</v>
      </c>
      <c r="G123" s="483">
        <f t="shared" si="56"/>
        <v>33333.5</v>
      </c>
      <c r="H123" s="484">
        <f t="shared" si="57"/>
        <v>5716.5874730240985</v>
      </c>
      <c r="I123" s="540">
        <f t="shared" si="58"/>
        <v>5716.5874730240985</v>
      </c>
      <c r="J123" s="476">
        <f t="shared" si="30"/>
        <v>0</v>
      </c>
      <c r="K123" s="476"/>
      <c r="L123" s="485"/>
      <c r="M123" s="476">
        <f t="shared" si="31"/>
        <v>0</v>
      </c>
      <c r="N123" s="485"/>
      <c r="O123" s="476">
        <f t="shared" si="32"/>
        <v>0</v>
      </c>
      <c r="P123" s="476">
        <f t="shared" si="33"/>
        <v>0</v>
      </c>
    </row>
    <row r="124" spans="2:16" ht="12.5">
      <c r="B124" s="160" t="str">
        <f t="shared" si="34"/>
        <v/>
      </c>
      <c r="C124" s="470">
        <f>IF(D93="","-",+C123+1)</f>
        <v>2032</v>
      </c>
      <c r="D124" s="345">
        <f>IF(F123+SUM(E$99:E123)=D$92,F123,D$92-SUM(E$99:E123))</f>
        <v>32379</v>
      </c>
      <c r="E124" s="484">
        <f>IF(+J96&lt;F123,J96,D124)</f>
        <v>1909</v>
      </c>
      <c r="F124" s="483">
        <f t="shared" si="55"/>
        <v>30470</v>
      </c>
      <c r="G124" s="483">
        <f t="shared" si="56"/>
        <v>31424.5</v>
      </c>
      <c r="H124" s="484">
        <f t="shared" si="57"/>
        <v>5498.5280287412297</v>
      </c>
      <c r="I124" s="540">
        <f t="shared" si="58"/>
        <v>5498.5280287412297</v>
      </c>
      <c r="J124" s="476">
        <f t="shared" si="30"/>
        <v>0</v>
      </c>
      <c r="K124" s="476"/>
      <c r="L124" s="485"/>
      <c r="M124" s="476">
        <f t="shared" si="31"/>
        <v>0</v>
      </c>
      <c r="N124" s="485"/>
      <c r="O124" s="476">
        <f t="shared" si="32"/>
        <v>0</v>
      </c>
      <c r="P124" s="476">
        <f t="shared" si="33"/>
        <v>0</v>
      </c>
    </row>
    <row r="125" spans="2:16" ht="12.5">
      <c r="B125" s="160" t="str">
        <f t="shared" si="34"/>
        <v/>
      </c>
      <c r="C125" s="470">
        <f>IF(D93="","-",+C124+1)</f>
        <v>2033</v>
      </c>
      <c r="D125" s="345">
        <f>IF(F124+SUM(E$99:E124)=D$92,F124,D$92-SUM(E$99:E124))</f>
        <v>30470</v>
      </c>
      <c r="E125" s="484">
        <f>IF(+J96&lt;F124,J96,D125)</f>
        <v>1909</v>
      </c>
      <c r="F125" s="483">
        <f t="shared" si="55"/>
        <v>28561</v>
      </c>
      <c r="G125" s="483">
        <f t="shared" si="56"/>
        <v>29515.5</v>
      </c>
      <c r="H125" s="484">
        <f t="shared" si="57"/>
        <v>5280.468584458361</v>
      </c>
      <c r="I125" s="540">
        <f t="shared" si="58"/>
        <v>5280.468584458361</v>
      </c>
      <c r="J125" s="476">
        <f t="shared" si="30"/>
        <v>0</v>
      </c>
      <c r="K125" s="476"/>
      <c r="L125" s="485"/>
      <c r="M125" s="476">
        <f t="shared" si="31"/>
        <v>0</v>
      </c>
      <c r="N125" s="485"/>
      <c r="O125" s="476">
        <f t="shared" si="32"/>
        <v>0</v>
      </c>
      <c r="P125" s="476">
        <f t="shared" si="33"/>
        <v>0</v>
      </c>
    </row>
    <row r="126" spans="2:16" ht="12.5">
      <c r="B126" s="160" t="str">
        <f t="shared" si="34"/>
        <v/>
      </c>
      <c r="C126" s="470">
        <f>IF(D93="","-",+C125+1)</f>
        <v>2034</v>
      </c>
      <c r="D126" s="345">
        <f>IF(F125+SUM(E$99:E125)=D$92,F125,D$92-SUM(E$99:E125))</f>
        <v>28561</v>
      </c>
      <c r="E126" s="484">
        <f>IF(+J96&lt;F125,J96,D126)</f>
        <v>1909</v>
      </c>
      <c r="F126" s="483">
        <f t="shared" si="55"/>
        <v>26652</v>
      </c>
      <c r="G126" s="483">
        <f t="shared" si="56"/>
        <v>27606.5</v>
      </c>
      <c r="H126" s="484">
        <f t="shared" si="57"/>
        <v>5062.4091401754922</v>
      </c>
      <c r="I126" s="540">
        <f t="shared" si="58"/>
        <v>5062.4091401754922</v>
      </c>
      <c r="J126" s="476">
        <f t="shared" si="30"/>
        <v>0</v>
      </c>
      <c r="K126" s="476"/>
      <c r="L126" s="485"/>
      <c r="M126" s="476">
        <f t="shared" si="31"/>
        <v>0</v>
      </c>
      <c r="N126" s="485"/>
      <c r="O126" s="476">
        <f t="shared" si="32"/>
        <v>0</v>
      </c>
      <c r="P126" s="476">
        <f t="shared" si="33"/>
        <v>0</v>
      </c>
    </row>
    <row r="127" spans="2:16" ht="12.5">
      <c r="B127" s="160" t="str">
        <f t="shared" si="34"/>
        <v/>
      </c>
      <c r="C127" s="470">
        <f>IF(D93="","-",+C126+1)</f>
        <v>2035</v>
      </c>
      <c r="D127" s="345">
        <f>IF(F126+SUM(E$99:E126)=D$92,F126,D$92-SUM(E$99:E126))</f>
        <v>26652</v>
      </c>
      <c r="E127" s="484">
        <f>IF(+J96&lt;F126,J96,D127)</f>
        <v>1909</v>
      </c>
      <c r="F127" s="483">
        <f t="shared" si="55"/>
        <v>24743</v>
      </c>
      <c r="G127" s="483">
        <f t="shared" si="56"/>
        <v>25697.5</v>
      </c>
      <c r="H127" s="484">
        <f t="shared" si="57"/>
        <v>4844.3496958926235</v>
      </c>
      <c r="I127" s="540">
        <f t="shared" si="58"/>
        <v>4844.3496958926235</v>
      </c>
      <c r="J127" s="476">
        <f t="shared" si="30"/>
        <v>0</v>
      </c>
      <c r="K127" s="476"/>
      <c r="L127" s="485"/>
      <c r="M127" s="476">
        <f t="shared" si="31"/>
        <v>0</v>
      </c>
      <c r="N127" s="485"/>
      <c r="O127" s="476">
        <f t="shared" si="32"/>
        <v>0</v>
      </c>
      <c r="P127" s="476">
        <f t="shared" si="33"/>
        <v>0</v>
      </c>
    </row>
    <row r="128" spans="2:16" ht="12.5">
      <c r="B128" s="160" t="str">
        <f t="shared" si="34"/>
        <v/>
      </c>
      <c r="C128" s="470">
        <f>IF(D93="","-",+C127+1)</f>
        <v>2036</v>
      </c>
      <c r="D128" s="345">
        <f>IF(F127+SUM(E$99:E127)=D$92,F127,D$92-SUM(E$99:E127))</f>
        <v>24743</v>
      </c>
      <c r="E128" s="484">
        <f>IF(+J96&lt;F127,J96,D128)</f>
        <v>1909</v>
      </c>
      <c r="F128" s="483">
        <f t="shared" si="55"/>
        <v>22834</v>
      </c>
      <c r="G128" s="483">
        <f t="shared" si="56"/>
        <v>23788.5</v>
      </c>
      <c r="H128" s="484">
        <f t="shared" si="57"/>
        <v>4626.2902516097547</v>
      </c>
      <c r="I128" s="540">
        <f t="shared" si="58"/>
        <v>4626.2902516097547</v>
      </c>
      <c r="J128" s="476">
        <f t="shared" si="30"/>
        <v>0</v>
      </c>
      <c r="K128" s="476"/>
      <c r="L128" s="485"/>
      <c r="M128" s="476">
        <f t="shared" si="31"/>
        <v>0</v>
      </c>
      <c r="N128" s="485"/>
      <c r="O128" s="476">
        <f t="shared" si="32"/>
        <v>0</v>
      </c>
      <c r="P128" s="476">
        <f t="shared" si="33"/>
        <v>0</v>
      </c>
    </row>
    <row r="129" spans="2:16" ht="12.5">
      <c r="B129" s="160" t="str">
        <f t="shared" si="34"/>
        <v/>
      </c>
      <c r="C129" s="470">
        <f>IF(D93="","-",+C128+1)</f>
        <v>2037</v>
      </c>
      <c r="D129" s="345">
        <f>IF(F128+SUM(E$99:E128)=D$92,F128,D$92-SUM(E$99:E128))</f>
        <v>22834</v>
      </c>
      <c r="E129" s="484">
        <f>IF(+J96&lt;F128,J96,D129)</f>
        <v>1909</v>
      </c>
      <c r="F129" s="483">
        <f t="shared" si="55"/>
        <v>20925</v>
      </c>
      <c r="G129" s="483">
        <f t="shared" si="56"/>
        <v>21879.5</v>
      </c>
      <c r="H129" s="484">
        <f t="shared" si="57"/>
        <v>4408.2308073268869</v>
      </c>
      <c r="I129" s="540">
        <f t="shared" si="58"/>
        <v>4408.2308073268869</v>
      </c>
      <c r="J129" s="476">
        <f t="shared" si="30"/>
        <v>0</v>
      </c>
      <c r="K129" s="476"/>
      <c r="L129" s="485"/>
      <c r="M129" s="476">
        <f t="shared" si="31"/>
        <v>0</v>
      </c>
      <c r="N129" s="485"/>
      <c r="O129" s="476">
        <f t="shared" si="32"/>
        <v>0</v>
      </c>
      <c r="P129" s="476">
        <f t="shared" si="33"/>
        <v>0</v>
      </c>
    </row>
    <row r="130" spans="2:16" ht="12.5">
      <c r="B130" s="160" t="str">
        <f t="shared" si="34"/>
        <v/>
      </c>
      <c r="C130" s="470">
        <f>IF(D93="","-",+C129+1)</f>
        <v>2038</v>
      </c>
      <c r="D130" s="345">
        <f>IF(F129+SUM(E$99:E129)=D$92,F129,D$92-SUM(E$99:E129))</f>
        <v>20925</v>
      </c>
      <c r="E130" s="484">
        <f>IF(+J96&lt;F129,J96,D130)</f>
        <v>1909</v>
      </c>
      <c r="F130" s="483">
        <f t="shared" si="55"/>
        <v>19016</v>
      </c>
      <c r="G130" s="483">
        <f t="shared" si="56"/>
        <v>19970.5</v>
      </c>
      <c r="H130" s="484">
        <f t="shared" si="57"/>
        <v>4190.1713630440172</v>
      </c>
      <c r="I130" s="540">
        <f t="shared" si="58"/>
        <v>4190.1713630440172</v>
      </c>
      <c r="J130" s="476">
        <f t="shared" si="30"/>
        <v>0</v>
      </c>
      <c r="K130" s="476"/>
      <c r="L130" s="485"/>
      <c r="M130" s="476">
        <f t="shared" si="31"/>
        <v>0</v>
      </c>
      <c r="N130" s="485"/>
      <c r="O130" s="476">
        <f t="shared" si="32"/>
        <v>0</v>
      </c>
      <c r="P130" s="476">
        <f t="shared" si="33"/>
        <v>0</v>
      </c>
    </row>
    <row r="131" spans="2:16" ht="12.5">
      <c r="B131" s="160" t="str">
        <f t="shared" si="34"/>
        <v/>
      </c>
      <c r="C131" s="470">
        <f>IF(D93="","-",+C130+1)</f>
        <v>2039</v>
      </c>
      <c r="D131" s="345">
        <f>IF(F130+SUM(E$99:E130)=D$92,F130,D$92-SUM(E$99:E130))</f>
        <v>19016</v>
      </c>
      <c r="E131" s="484">
        <f>IF(+J96&lt;F130,J96,D131)</f>
        <v>1909</v>
      </c>
      <c r="F131" s="483">
        <f t="shared" si="55"/>
        <v>17107</v>
      </c>
      <c r="G131" s="483">
        <f t="shared" si="56"/>
        <v>18061.5</v>
      </c>
      <c r="H131" s="484">
        <f t="shared" si="57"/>
        <v>3972.1119187611489</v>
      </c>
      <c r="I131" s="540">
        <f t="shared" si="58"/>
        <v>3972.1119187611489</v>
      </c>
      <c r="J131" s="476">
        <f t="shared" ref="J131:J154" si="59">+I541-H541</f>
        <v>0</v>
      </c>
      <c r="K131" s="476"/>
      <c r="L131" s="485"/>
      <c r="M131" s="476">
        <f t="shared" ref="M131:M154" si="60">IF(L541&lt;&gt;0,+H541-L541,0)</f>
        <v>0</v>
      </c>
      <c r="N131" s="485"/>
      <c r="O131" s="476">
        <f t="shared" ref="O131:O154" si="61">IF(N541&lt;&gt;0,+I541-N541,0)</f>
        <v>0</v>
      </c>
      <c r="P131" s="476">
        <f t="shared" ref="P131:P154" si="62">+O541-M541</f>
        <v>0</v>
      </c>
    </row>
    <row r="132" spans="2:16" ht="12.5">
      <c r="B132" s="160" t="str">
        <f t="shared" si="34"/>
        <v/>
      </c>
      <c r="C132" s="470">
        <f>IF(D93="","-",+C131+1)</f>
        <v>2040</v>
      </c>
      <c r="D132" s="345">
        <f>IF(F131+SUM(E$99:E131)=D$92,F131,D$92-SUM(E$99:E131))</f>
        <v>17107</v>
      </c>
      <c r="E132" s="484">
        <f>IF(+J96&lt;F131,J96,D132)</f>
        <v>1909</v>
      </c>
      <c r="F132" s="483">
        <f t="shared" si="55"/>
        <v>15198</v>
      </c>
      <c r="G132" s="483">
        <f t="shared" si="56"/>
        <v>16152.5</v>
      </c>
      <c r="H132" s="484">
        <f t="shared" si="57"/>
        <v>3754.0524744782801</v>
      </c>
      <c r="I132" s="540">
        <f t="shared" si="58"/>
        <v>3754.0524744782801</v>
      </c>
      <c r="J132" s="476">
        <f t="shared" si="59"/>
        <v>0</v>
      </c>
      <c r="K132" s="476"/>
      <c r="L132" s="485"/>
      <c r="M132" s="476">
        <f t="shared" si="60"/>
        <v>0</v>
      </c>
      <c r="N132" s="485"/>
      <c r="O132" s="476">
        <f t="shared" si="61"/>
        <v>0</v>
      </c>
      <c r="P132" s="476">
        <f t="shared" si="62"/>
        <v>0</v>
      </c>
    </row>
    <row r="133" spans="2:16" ht="12.5">
      <c r="B133" s="160" t="str">
        <f t="shared" si="34"/>
        <v/>
      </c>
      <c r="C133" s="470">
        <f>IF(D93="","-",+C132+1)</f>
        <v>2041</v>
      </c>
      <c r="D133" s="345">
        <f>IF(F132+SUM(E$99:E132)=D$92,F132,D$92-SUM(E$99:E132))</f>
        <v>15198</v>
      </c>
      <c r="E133" s="484">
        <f>IF(+J96&lt;F132,J96,D133)</f>
        <v>1909</v>
      </c>
      <c r="F133" s="483">
        <f t="shared" si="55"/>
        <v>13289</v>
      </c>
      <c r="G133" s="483">
        <f t="shared" si="56"/>
        <v>14243.5</v>
      </c>
      <c r="H133" s="484">
        <f t="shared" si="57"/>
        <v>3535.9930301954114</v>
      </c>
      <c r="I133" s="540">
        <f t="shared" si="58"/>
        <v>3535.9930301954114</v>
      </c>
      <c r="J133" s="476">
        <f t="shared" si="59"/>
        <v>0</v>
      </c>
      <c r="K133" s="476"/>
      <c r="L133" s="485"/>
      <c r="M133" s="476">
        <f t="shared" si="60"/>
        <v>0</v>
      </c>
      <c r="N133" s="485"/>
      <c r="O133" s="476">
        <f t="shared" si="61"/>
        <v>0</v>
      </c>
      <c r="P133" s="476">
        <f t="shared" si="62"/>
        <v>0</v>
      </c>
    </row>
    <row r="134" spans="2:16" ht="12.5">
      <c r="B134" s="160" t="str">
        <f t="shared" si="34"/>
        <v/>
      </c>
      <c r="C134" s="470">
        <f>IF(D93="","-",+C133+1)</f>
        <v>2042</v>
      </c>
      <c r="D134" s="345">
        <f>IF(F133+SUM(E$99:E133)=D$92,F133,D$92-SUM(E$99:E133))</f>
        <v>13289</v>
      </c>
      <c r="E134" s="484">
        <f>IF(+J96&lt;F133,J96,D134)</f>
        <v>1909</v>
      </c>
      <c r="F134" s="483">
        <f t="shared" si="55"/>
        <v>11380</v>
      </c>
      <c r="G134" s="483">
        <f t="shared" si="56"/>
        <v>12334.5</v>
      </c>
      <c r="H134" s="484">
        <f t="shared" si="57"/>
        <v>3317.9335859125426</v>
      </c>
      <c r="I134" s="540">
        <f t="shared" si="58"/>
        <v>3317.9335859125426</v>
      </c>
      <c r="J134" s="476">
        <f t="shared" si="59"/>
        <v>0</v>
      </c>
      <c r="K134" s="476"/>
      <c r="L134" s="485"/>
      <c r="M134" s="476">
        <f t="shared" si="60"/>
        <v>0</v>
      </c>
      <c r="N134" s="485"/>
      <c r="O134" s="476">
        <f t="shared" si="61"/>
        <v>0</v>
      </c>
      <c r="P134" s="476">
        <f t="shared" si="62"/>
        <v>0</v>
      </c>
    </row>
    <row r="135" spans="2:16" ht="12.5">
      <c r="B135" s="160" t="str">
        <f t="shared" si="34"/>
        <v/>
      </c>
      <c r="C135" s="470">
        <f>IF(D93="","-",+C134+1)</f>
        <v>2043</v>
      </c>
      <c r="D135" s="345">
        <f>IF(F134+SUM(E$99:E134)=D$92,F134,D$92-SUM(E$99:E134))</f>
        <v>11380</v>
      </c>
      <c r="E135" s="484">
        <f>IF(+J96&lt;F134,J96,D135)</f>
        <v>1909</v>
      </c>
      <c r="F135" s="483">
        <f t="shared" si="55"/>
        <v>9471</v>
      </c>
      <c r="G135" s="483">
        <f t="shared" si="56"/>
        <v>10425.5</v>
      </c>
      <c r="H135" s="484">
        <f t="shared" si="57"/>
        <v>3099.8741416296739</v>
      </c>
      <c r="I135" s="540">
        <f t="shared" si="58"/>
        <v>3099.8741416296739</v>
      </c>
      <c r="J135" s="476">
        <f t="shared" si="59"/>
        <v>0</v>
      </c>
      <c r="K135" s="476"/>
      <c r="L135" s="485"/>
      <c r="M135" s="476">
        <f t="shared" si="60"/>
        <v>0</v>
      </c>
      <c r="N135" s="485"/>
      <c r="O135" s="476">
        <f t="shared" si="61"/>
        <v>0</v>
      </c>
      <c r="P135" s="476">
        <f t="shared" si="62"/>
        <v>0</v>
      </c>
    </row>
    <row r="136" spans="2:16" ht="12.5">
      <c r="B136" s="160" t="str">
        <f t="shared" si="34"/>
        <v/>
      </c>
      <c r="C136" s="470">
        <f>IF(D93="","-",+C135+1)</f>
        <v>2044</v>
      </c>
      <c r="D136" s="345">
        <f>IF(F135+SUM(E$99:E135)=D$92,F135,D$92-SUM(E$99:E135))</f>
        <v>9471</v>
      </c>
      <c r="E136" s="484">
        <f>IF(+J96&lt;F135,J96,D136)</f>
        <v>1909</v>
      </c>
      <c r="F136" s="483">
        <f t="shared" si="55"/>
        <v>7562</v>
      </c>
      <c r="G136" s="483">
        <f t="shared" si="56"/>
        <v>8516.5</v>
      </c>
      <c r="H136" s="484">
        <f t="shared" si="57"/>
        <v>2881.8146973468051</v>
      </c>
      <c r="I136" s="540">
        <f t="shared" si="58"/>
        <v>2881.8146973468051</v>
      </c>
      <c r="J136" s="476">
        <f t="shared" si="59"/>
        <v>0</v>
      </c>
      <c r="K136" s="476"/>
      <c r="L136" s="485"/>
      <c r="M136" s="476">
        <f t="shared" si="60"/>
        <v>0</v>
      </c>
      <c r="N136" s="485"/>
      <c r="O136" s="476">
        <f t="shared" si="61"/>
        <v>0</v>
      </c>
      <c r="P136" s="476">
        <f t="shared" si="62"/>
        <v>0</v>
      </c>
    </row>
    <row r="137" spans="2:16" ht="12.5">
      <c r="B137" s="160" t="str">
        <f t="shared" si="34"/>
        <v/>
      </c>
      <c r="C137" s="470">
        <f>IF(D93="","-",+C136+1)</f>
        <v>2045</v>
      </c>
      <c r="D137" s="345">
        <f>IF(F136+SUM(E$99:E136)=D$92,F136,D$92-SUM(E$99:E136))</f>
        <v>7562</v>
      </c>
      <c r="E137" s="484">
        <f>IF(+J96&lt;F136,J96,D137)</f>
        <v>1909</v>
      </c>
      <c r="F137" s="483">
        <f t="shared" si="55"/>
        <v>5653</v>
      </c>
      <c r="G137" s="483">
        <f t="shared" si="56"/>
        <v>6607.5</v>
      </c>
      <c r="H137" s="484">
        <f t="shared" si="57"/>
        <v>2663.7552530639368</v>
      </c>
      <c r="I137" s="540">
        <f t="shared" si="58"/>
        <v>2663.7552530639368</v>
      </c>
      <c r="J137" s="476">
        <f t="shared" si="59"/>
        <v>0</v>
      </c>
      <c r="K137" s="476"/>
      <c r="L137" s="485"/>
      <c r="M137" s="476">
        <f t="shared" si="60"/>
        <v>0</v>
      </c>
      <c r="N137" s="485"/>
      <c r="O137" s="476">
        <f t="shared" si="61"/>
        <v>0</v>
      </c>
      <c r="P137" s="476">
        <f t="shared" si="62"/>
        <v>0</v>
      </c>
    </row>
    <row r="138" spans="2:16" ht="12.5">
      <c r="B138" s="160" t="str">
        <f t="shared" si="34"/>
        <v/>
      </c>
      <c r="C138" s="470">
        <f>IF(D93="","-",+C137+1)</f>
        <v>2046</v>
      </c>
      <c r="D138" s="345">
        <f>IF(F137+SUM(E$99:E137)=D$92,F137,D$92-SUM(E$99:E137))</f>
        <v>5653</v>
      </c>
      <c r="E138" s="484">
        <f>IF(+J96&lt;F137,J96,D138)</f>
        <v>1909</v>
      </c>
      <c r="F138" s="483">
        <f t="shared" si="55"/>
        <v>3744</v>
      </c>
      <c r="G138" s="483">
        <f t="shared" si="56"/>
        <v>4698.5</v>
      </c>
      <c r="H138" s="484">
        <f t="shared" si="57"/>
        <v>2445.6958087810681</v>
      </c>
      <c r="I138" s="540">
        <f t="shared" si="58"/>
        <v>2445.6958087810681</v>
      </c>
      <c r="J138" s="476">
        <f t="shared" si="59"/>
        <v>0</v>
      </c>
      <c r="K138" s="476"/>
      <c r="L138" s="485"/>
      <c r="M138" s="476">
        <f t="shared" si="60"/>
        <v>0</v>
      </c>
      <c r="N138" s="485"/>
      <c r="O138" s="476">
        <f t="shared" si="61"/>
        <v>0</v>
      </c>
      <c r="P138" s="476">
        <f t="shared" si="62"/>
        <v>0</v>
      </c>
    </row>
    <row r="139" spans="2:16" ht="12.5">
      <c r="B139" s="160" t="str">
        <f t="shared" si="34"/>
        <v/>
      </c>
      <c r="C139" s="470">
        <f>IF(D93="","-",+C138+1)</f>
        <v>2047</v>
      </c>
      <c r="D139" s="345">
        <f>IF(F138+SUM(E$99:E138)=D$92,F138,D$92-SUM(E$99:E138))</f>
        <v>3744</v>
      </c>
      <c r="E139" s="484">
        <f>IF(+J96&lt;F138,J96,D139)</f>
        <v>1909</v>
      </c>
      <c r="F139" s="483">
        <f t="shared" si="55"/>
        <v>1835</v>
      </c>
      <c r="G139" s="483">
        <f t="shared" si="56"/>
        <v>2789.5</v>
      </c>
      <c r="H139" s="484">
        <f t="shared" si="57"/>
        <v>2227.6363644981993</v>
      </c>
      <c r="I139" s="540">
        <f t="shared" si="58"/>
        <v>2227.6363644981993</v>
      </c>
      <c r="J139" s="476">
        <f t="shared" si="59"/>
        <v>0</v>
      </c>
      <c r="K139" s="476"/>
      <c r="L139" s="485"/>
      <c r="M139" s="476">
        <f t="shared" si="60"/>
        <v>0</v>
      </c>
      <c r="N139" s="485"/>
      <c r="O139" s="476">
        <f t="shared" si="61"/>
        <v>0</v>
      </c>
      <c r="P139" s="476">
        <f t="shared" si="62"/>
        <v>0</v>
      </c>
    </row>
    <row r="140" spans="2:16" ht="12.5">
      <c r="B140" s="160" t="str">
        <f t="shared" si="34"/>
        <v/>
      </c>
      <c r="C140" s="470">
        <f>IF(D93="","-",+C139+1)</f>
        <v>2048</v>
      </c>
      <c r="D140" s="345">
        <f>IF(F139+SUM(E$99:E139)=D$92,F139,D$92-SUM(E$99:E139))</f>
        <v>1835</v>
      </c>
      <c r="E140" s="484">
        <f>IF(+J96&lt;F139,J96,D140)</f>
        <v>1835</v>
      </c>
      <c r="F140" s="483">
        <f t="shared" si="55"/>
        <v>0</v>
      </c>
      <c r="G140" s="483">
        <f t="shared" si="56"/>
        <v>917.5</v>
      </c>
      <c r="H140" s="484">
        <f t="shared" si="57"/>
        <v>1939.8033211783825</v>
      </c>
      <c r="I140" s="540">
        <f t="shared" si="58"/>
        <v>1939.8033211783825</v>
      </c>
      <c r="J140" s="476">
        <f t="shared" si="59"/>
        <v>0</v>
      </c>
      <c r="K140" s="476"/>
      <c r="L140" s="485"/>
      <c r="M140" s="476">
        <f t="shared" si="60"/>
        <v>0</v>
      </c>
      <c r="N140" s="485"/>
      <c r="O140" s="476">
        <f t="shared" si="61"/>
        <v>0</v>
      </c>
      <c r="P140" s="476">
        <f t="shared" si="62"/>
        <v>0</v>
      </c>
    </row>
    <row r="141" spans="2:16" ht="12.5">
      <c r="B141" s="160" t="str">
        <f t="shared" si="34"/>
        <v/>
      </c>
      <c r="C141" s="470">
        <f>IF(D93="","-",+C140+1)</f>
        <v>2049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55"/>
        <v>0</v>
      </c>
      <c r="G141" s="483">
        <f t="shared" si="56"/>
        <v>0</v>
      </c>
      <c r="H141" s="484">
        <f t="shared" si="57"/>
        <v>0</v>
      </c>
      <c r="I141" s="540">
        <f t="shared" si="58"/>
        <v>0</v>
      </c>
      <c r="J141" s="476">
        <f t="shared" si="59"/>
        <v>0</v>
      </c>
      <c r="K141" s="476"/>
      <c r="L141" s="485"/>
      <c r="M141" s="476">
        <f t="shared" si="60"/>
        <v>0</v>
      </c>
      <c r="N141" s="485"/>
      <c r="O141" s="476">
        <f t="shared" si="61"/>
        <v>0</v>
      </c>
      <c r="P141" s="476">
        <f t="shared" si="62"/>
        <v>0</v>
      </c>
    </row>
    <row r="142" spans="2:16" ht="12.5">
      <c r="B142" s="160" t="str">
        <f t="shared" si="34"/>
        <v/>
      </c>
      <c r="C142" s="470">
        <f>IF(D93="","-",+C141+1)</f>
        <v>2050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55"/>
        <v>0</v>
      </c>
      <c r="G142" s="483">
        <f t="shared" si="56"/>
        <v>0</v>
      </c>
      <c r="H142" s="484">
        <f t="shared" si="57"/>
        <v>0</v>
      </c>
      <c r="I142" s="540">
        <f t="shared" si="58"/>
        <v>0</v>
      </c>
      <c r="J142" s="476">
        <f t="shared" si="59"/>
        <v>0</v>
      </c>
      <c r="K142" s="476"/>
      <c r="L142" s="485"/>
      <c r="M142" s="476">
        <f t="shared" si="60"/>
        <v>0</v>
      </c>
      <c r="N142" s="485"/>
      <c r="O142" s="476">
        <f t="shared" si="61"/>
        <v>0</v>
      </c>
      <c r="P142" s="476">
        <f t="shared" si="62"/>
        <v>0</v>
      </c>
    </row>
    <row r="143" spans="2:16" ht="12.5">
      <c r="B143" s="160" t="str">
        <f t="shared" si="34"/>
        <v/>
      </c>
      <c r="C143" s="470">
        <f>IF(D93="","-",+C142+1)</f>
        <v>2051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5"/>
        <v>0</v>
      </c>
      <c r="G143" s="483">
        <f t="shared" si="56"/>
        <v>0</v>
      </c>
      <c r="H143" s="484">
        <f t="shared" si="57"/>
        <v>0</v>
      </c>
      <c r="I143" s="540">
        <f t="shared" si="58"/>
        <v>0</v>
      </c>
      <c r="J143" s="476">
        <f t="shared" si="59"/>
        <v>0</v>
      </c>
      <c r="K143" s="476"/>
      <c r="L143" s="485"/>
      <c r="M143" s="476">
        <f t="shared" si="60"/>
        <v>0</v>
      </c>
      <c r="N143" s="485"/>
      <c r="O143" s="476">
        <f t="shared" si="61"/>
        <v>0</v>
      </c>
      <c r="P143" s="476">
        <f t="shared" si="62"/>
        <v>0</v>
      </c>
    </row>
    <row r="144" spans="2:16" ht="12.5">
      <c r="B144" s="160" t="str">
        <f t="shared" si="34"/>
        <v/>
      </c>
      <c r="C144" s="470">
        <f>IF(D93="","-",+C143+1)</f>
        <v>2052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5"/>
        <v>0</v>
      </c>
      <c r="G144" s="483">
        <f t="shared" si="56"/>
        <v>0</v>
      </c>
      <c r="H144" s="484">
        <f t="shared" si="57"/>
        <v>0</v>
      </c>
      <c r="I144" s="540">
        <f t="shared" si="58"/>
        <v>0</v>
      </c>
      <c r="J144" s="476">
        <f t="shared" si="59"/>
        <v>0</v>
      </c>
      <c r="K144" s="476"/>
      <c r="L144" s="485"/>
      <c r="M144" s="476">
        <f t="shared" si="60"/>
        <v>0</v>
      </c>
      <c r="N144" s="485"/>
      <c r="O144" s="476">
        <f t="shared" si="61"/>
        <v>0</v>
      </c>
      <c r="P144" s="476">
        <f t="shared" si="62"/>
        <v>0</v>
      </c>
    </row>
    <row r="145" spans="2:16" ht="12.5">
      <c r="B145" s="160" t="str">
        <f t="shared" si="34"/>
        <v/>
      </c>
      <c r="C145" s="470">
        <f>IF(D93="","-",+C144+1)</f>
        <v>2053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5"/>
        <v>0</v>
      </c>
      <c r="G145" s="483">
        <f t="shared" si="56"/>
        <v>0</v>
      </c>
      <c r="H145" s="484">
        <f t="shared" si="57"/>
        <v>0</v>
      </c>
      <c r="I145" s="540">
        <f t="shared" si="58"/>
        <v>0</v>
      </c>
      <c r="J145" s="476">
        <f t="shared" si="59"/>
        <v>0</v>
      </c>
      <c r="K145" s="476"/>
      <c r="L145" s="485"/>
      <c r="M145" s="476">
        <f t="shared" si="60"/>
        <v>0</v>
      </c>
      <c r="N145" s="485"/>
      <c r="O145" s="476">
        <f t="shared" si="61"/>
        <v>0</v>
      </c>
      <c r="P145" s="476">
        <f t="shared" si="62"/>
        <v>0</v>
      </c>
    </row>
    <row r="146" spans="2:16" ht="12.5">
      <c r="B146" s="160" t="str">
        <f t="shared" si="34"/>
        <v/>
      </c>
      <c r="C146" s="470">
        <f>IF(D93="","-",+C145+1)</f>
        <v>2054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5"/>
        <v>0</v>
      </c>
      <c r="G146" s="483">
        <f t="shared" si="56"/>
        <v>0</v>
      </c>
      <c r="H146" s="484">
        <f t="shared" si="57"/>
        <v>0</v>
      </c>
      <c r="I146" s="540">
        <f t="shared" si="58"/>
        <v>0</v>
      </c>
      <c r="J146" s="476">
        <f t="shared" si="59"/>
        <v>0</v>
      </c>
      <c r="K146" s="476"/>
      <c r="L146" s="485"/>
      <c r="M146" s="476">
        <f t="shared" si="60"/>
        <v>0</v>
      </c>
      <c r="N146" s="485"/>
      <c r="O146" s="476">
        <f t="shared" si="61"/>
        <v>0</v>
      </c>
      <c r="P146" s="476">
        <f t="shared" si="62"/>
        <v>0</v>
      </c>
    </row>
    <row r="147" spans="2:16" ht="12.5">
      <c r="B147" s="160" t="str">
        <f t="shared" si="34"/>
        <v/>
      </c>
      <c r="C147" s="470">
        <f>IF(D93="","-",+C146+1)</f>
        <v>2055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5"/>
        <v>0</v>
      </c>
      <c r="G147" s="483">
        <f t="shared" si="56"/>
        <v>0</v>
      </c>
      <c r="H147" s="484">
        <f t="shared" si="57"/>
        <v>0</v>
      </c>
      <c r="I147" s="540">
        <f t="shared" si="58"/>
        <v>0</v>
      </c>
      <c r="J147" s="476">
        <f t="shared" si="59"/>
        <v>0</v>
      </c>
      <c r="K147" s="476"/>
      <c r="L147" s="485"/>
      <c r="M147" s="476">
        <f t="shared" si="60"/>
        <v>0</v>
      </c>
      <c r="N147" s="485"/>
      <c r="O147" s="476">
        <f t="shared" si="61"/>
        <v>0</v>
      </c>
      <c r="P147" s="476">
        <f t="shared" si="62"/>
        <v>0</v>
      </c>
    </row>
    <row r="148" spans="2:16" ht="12.5">
      <c r="B148" s="160" t="str">
        <f t="shared" si="34"/>
        <v/>
      </c>
      <c r="C148" s="470">
        <f>IF(D93="","-",+C147+1)</f>
        <v>2056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5"/>
        <v>0</v>
      </c>
      <c r="G148" s="483">
        <f t="shared" si="56"/>
        <v>0</v>
      </c>
      <c r="H148" s="484">
        <f t="shared" si="57"/>
        <v>0</v>
      </c>
      <c r="I148" s="540">
        <f t="shared" si="58"/>
        <v>0</v>
      </c>
      <c r="J148" s="476">
        <f t="shared" si="59"/>
        <v>0</v>
      </c>
      <c r="K148" s="476"/>
      <c r="L148" s="485"/>
      <c r="M148" s="476">
        <f t="shared" si="60"/>
        <v>0</v>
      </c>
      <c r="N148" s="485"/>
      <c r="O148" s="476">
        <f t="shared" si="61"/>
        <v>0</v>
      </c>
      <c r="P148" s="476">
        <f t="shared" si="62"/>
        <v>0</v>
      </c>
    </row>
    <row r="149" spans="2:16" ht="12.5">
      <c r="B149" s="160" t="str">
        <f t="shared" si="34"/>
        <v/>
      </c>
      <c r="C149" s="470">
        <f>IF(D93="","-",+C148+1)</f>
        <v>2057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5"/>
        <v>0</v>
      </c>
      <c r="G149" s="483">
        <f t="shared" si="56"/>
        <v>0</v>
      </c>
      <c r="H149" s="484">
        <f t="shared" si="57"/>
        <v>0</v>
      </c>
      <c r="I149" s="540">
        <f t="shared" si="58"/>
        <v>0</v>
      </c>
      <c r="J149" s="476">
        <f t="shared" si="59"/>
        <v>0</v>
      </c>
      <c r="K149" s="476"/>
      <c r="L149" s="485"/>
      <c r="M149" s="476">
        <f t="shared" si="60"/>
        <v>0</v>
      </c>
      <c r="N149" s="485"/>
      <c r="O149" s="476">
        <f t="shared" si="61"/>
        <v>0</v>
      </c>
      <c r="P149" s="476">
        <f t="shared" si="62"/>
        <v>0</v>
      </c>
    </row>
    <row r="150" spans="2:16" ht="12.5">
      <c r="B150" s="160" t="str">
        <f t="shared" si="34"/>
        <v/>
      </c>
      <c r="C150" s="470">
        <f>IF(D93="","-",+C149+1)</f>
        <v>2058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5"/>
        <v>0</v>
      </c>
      <c r="G150" s="483">
        <f t="shared" si="56"/>
        <v>0</v>
      </c>
      <c r="H150" s="484">
        <f t="shared" si="57"/>
        <v>0</v>
      </c>
      <c r="I150" s="540">
        <f t="shared" si="58"/>
        <v>0</v>
      </c>
      <c r="J150" s="476">
        <f t="shared" si="59"/>
        <v>0</v>
      </c>
      <c r="K150" s="476"/>
      <c r="L150" s="485"/>
      <c r="M150" s="476">
        <f t="shared" si="60"/>
        <v>0</v>
      </c>
      <c r="N150" s="485"/>
      <c r="O150" s="476">
        <f t="shared" si="61"/>
        <v>0</v>
      </c>
      <c r="P150" s="476">
        <f t="shared" si="62"/>
        <v>0</v>
      </c>
    </row>
    <row r="151" spans="2:16" ht="12.5">
      <c r="B151" s="160" t="str">
        <f t="shared" si="34"/>
        <v/>
      </c>
      <c r="C151" s="470">
        <f>IF(D93="","-",+C150+1)</f>
        <v>2059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5"/>
        <v>0</v>
      </c>
      <c r="G151" s="483">
        <f t="shared" si="56"/>
        <v>0</v>
      </c>
      <c r="H151" s="484">
        <f t="shared" si="57"/>
        <v>0</v>
      </c>
      <c r="I151" s="540">
        <f t="shared" si="58"/>
        <v>0</v>
      </c>
      <c r="J151" s="476">
        <f t="shared" si="59"/>
        <v>0</v>
      </c>
      <c r="K151" s="476"/>
      <c r="L151" s="485"/>
      <c r="M151" s="476">
        <f t="shared" si="60"/>
        <v>0</v>
      </c>
      <c r="N151" s="485"/>
      <c r="O151" s="476">
        <f t="shared" si="61"/>
        <v>0</v>
      </c>
      <c r="P151" s="476">
        <f t="shared" si="62"/>
        <v>0</v>
      </c>
    </row>
    <row r="152" spans="2:16" ht="12.5">
      <c r="B152" s="160" t="str">
        <f t="shared" si="34"/>
        <v/>
      </c>
      <c r="C152" s="470">
        <f>IF(D93="","-",+C151+1)</f>
        <v>2060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5"/>
        <v>0</v>
      </c>
      <c r="G152" s="483">
        <f t="shared" si="56"/>
        <v>0</v>
      </c>
      <c r="H152" s="484">
        <f t="shared" si="57"/>
        <v>0</v>
      </c>
      <c r="I152" s="540">
        <f t="shared" si="58"/>
        <v>0</v>
      </c>
      <c r="J152" s="476">
        <f t="shared" si="59"/>
        <v>0</v>
      </c>
      <c r="K152" s="476"/>
      <c r="L152" s="485"/>
      <c r="M152" s="476">
        <f t="shared" si="60"/>
        <v>0</v>
      </c>
      <c r="N152" s="485"/>
      <c r="O152" s="476">
        <f t="shared" si="61"/>
        <v>0</v>
      </c>
      <c r="P152" s="476">
        <f t="shared" si="62"/>
        <v>0</v>
      </c>
    </row>
    <row r="153" spans="2:16" ht="12.5">
      <c r="B153" s="160" t="str">
        <f t="shared" si="34"/>
        <v/>
      </c>
      <c r="C153" s="470">
        <f>IF(D93="","-",+C152+1)</f>
        <v>2061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5"/>
        <v>0</v>
      </c>
      <c r="G153" s="483">
        <f t="shared" si="56"/>
        <v>0</v>
      </c>
      <c r="H153" s="484">
        <f t="shared" si="57"/>
        <v>0</v>
      </c>
      <c r="I153" s="540">
        <f t="shared" si="58"/>
        <v>0</v>
      </c>
      <c r="J153" s="476">
        <f t="shared" si="59"/>
        <v>0</v>
      </c>
      <c r="K153" s="476"/>
      <c r="L153" s="485"/>
      <c r="M153" s="476">
        <f t="shared" si="60"/>
        <v>0</v>
      </c>
      <c r="N153" s="485"/>
      <c r="O153" s="476">
        <f t="shared" si="61"/>
        <v>0</v>
      </c>
      <c r="P153" s="476">
        <f t="shared" si="62"/>
        <v>0</v>
      </c>
    </row>
    <row r="154" spans="2:16" ht="13" thickBot="1">
      <c r="B154" s="160" t="str">
        <f t="shared" si="34"/>
        <v/>
      </c>
      <c r="C154" s="487">
        <f>IF(D93="","-",+C153+1)</f>
        <v>2062</v>
      </c>
      <c r="D154" s="488">
        <f>IF(F153+SUM(E$99:E153)=D$92,F153,D$92-SUM(E$99:E153))</f>
        <v>0</v>
      </c>
      <c r="E154" s="542">
        <f>IF(+J96&lt;F153,J96,D154)</f>
        <v>0</v>
      </c>
      <c r="F154" s="488">
        <f t="shared" si="55"/>
        <v>0</v>
      </c>
      <c r="G154" s="488">
        <f t="shared" si="56"/>
        <v>0</v>
      </c>
      <c r="H154" s="490">
        <f t="shared" ref="H154" si="63">+J$94*G154+E154</f>
        <v>0</v>
      </c>
      <c r="I154" s="543">
        <f t="shared" ref="I154" si="64">+J$95*G154+E154</f>
        <v>0</v>
      </c>
      <c r="J154" s="493">
        <f t="shared" si="59"/>
        <v>0</v>
      </c>
      <c r="K154" s="476"/>
      <c r="L154" s="492"/>
      <c r="M154" s="493">
        <f t="shared" si="60"/>
        <v>0</v>
      </c>
      <c r="N154" s="492"/>
      <c r="O154" s="493">
        <f t="shared" si="61"/>
        <v>0</v>
      </c>
      <c r="P154" s="493">
        <f t="shared" si="62"/>
        <v>0</v>
      </c>
    </row>
    <row r="155" spans="2:16" ht="12.5">
      <c r="C155" s="345" t="s">
        <v>77</v>
      </c>
      <c r="D155" s="346"/>
      <c r="E155" s="346">
        <f>SUM(E99:E154)</f>
        <v>72551</v>
      </c>
      <c r="F155" s="346"/>
      <c r="G155" s="346"/>
      <c r="H155" s="346">
        <f>SUM(H99:H154)</f>
        <v>275179.30927723035</v>
      </c>
      <c r="I155" s="346">
        <f>SUM(I99:I154)</f>
        <v>275179.30927723035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0">
    <tabColor rgb="FFC00000"/>
  </sheetPr>
  <dimension ref="A1:P162"/>
  <sheetViews>
    <sheetView topLeftCell="A67" zoomScaleNormal="100" zoomScaleSheetLayoutView="75" workbookViewId="0">
      <selection activeCell="D96" sqref="D96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10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10616.051282051281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10616.051282051281</v>
      </c>
      <c r="O6" s="231"/>
      <c r="P6" s="231"/>
    </row>
    <row r="7" spans="1:16" ht="13.5" thickBot="1">
      <c r="C7" s="429" t="s">
        <v>46</v>
      </c>
      <c r="D7" s="562" t="s">
        <v>255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221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96566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2010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2476.0512820512822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2010</v>
      </c>
      <c r="D17" s="471">
        <v>135400</v>
      </c>
      <c r="E17" s="472">
        <v>1209</v>
      </c>
      <c r="F17" s="471">
        <v>134191</v>
      </c>
      <c r="G17" s="472">
        <v>20572</v>
      </c>
      <c r="H17" s="479">
        <v>20572</v>
      </c>
      <c r="I17" s="473">
        <f t="shared" ref="I17:I48" si="0">H17-G17</f>
        <v>0</v>
      </c>
      <c r="J17" s="473"/>
      <c r="K17" s="552">
        <f t="shared" ref="K17:K22" si="1">G17</f>
        <v>20572</v>
      </c>
      <c r="L17" s="475">
        <f t="shared" ref="L17:L48" si="2">IF(K17&lt;&gt;0,+G17-K17,0)</f>
        <v>0</v>
      </c>
      <c r="M17" s="552">
        <f t="shared" ref="M17:M22" si="3">H17</f>
        <v>20572</v>
      </c>
      <c r="N17" s="475">
        <f t="shared" ref="N17:N48" si="4">IF(M17&lt;&gt;0,+H17-M17,0)</f>
        <v>0</v>
      </c>
      <c r="O17" s="476">
        <f t="shared" ref="O17:O48" si="5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2011</v>
      </c>
      <c r="D18" s="477">
        <v>95357</v>
      </c>
      <c r="E18" s="478">
        <v>1893.4509803921569</v>
      </c>
      <c r="F18" s="477">
        <v>93463.549019607846</v>
      </c>
      <c r="G18" s="478">
        <v>16524.450980392157</v>
      </c>
      <c r="H18" s="479">
        <v>16524.450980392157</v>
      </c>
      <c r="I18" s="473">
        <f t="shared" si="0"/>
        <v>0</v>
      </c>
      <c r="J18" s="473"/>
      <c r="K18" s="474">
        <f t="shared" si="1"/>
        <v>16524.450980392157</v>
      </c>
      <c r="L18" s="548">
        <f t="shared" si="2"/>
        <v>0</v>
      </c>
      <c r="M18" s="474">
        <f t="shared" si="3"/>
        <v>16524.450980392157</v>
      </c>
      <c r="N18" s="476">
        <f t="shared" si="4"/>
        <v>0</v>
      </c>
      <c r="O18" s="476">
        <f t="shared" si="5"/>
        <v>0</v>
      </c>
      <c r="P18" s="241"/>
    </row>
    <row r="19" spans="2:16" ht="12.5">
      <c r="B19" s="160" t="str">
        <f>IF(D19=F18,"","IU")</f>
        <v/>
      </c>
      <c r="C19" s="470">
        <f>IF(D11="","-",+C18+1)</f>
        <v>2012</v>
      </c>
      <c r="D19" s="477">
        <v>93463.549019607846</v>
      </c>
      <c r="E19" s="478">
        <v>1857.0384615384614</v>
      </c>
      <c r="F19" s="477">
        <v>91606.510558069378</v>
      </c>
      <c r="G19" s="478">
        <v>14609.038461538461</v>
      </c>
      <c r="H19" s="479">
        <v>14609.038461538461</v>
      </c>
      <c r="I19" s="473">
        <f t="shared" si="0"/>
        <v>0</v>
      </c>
      <c r="J19" s="473"/>
      <c r="K19" s="474">
        <f t="shared" si="1"/>
        <v>14609.038461538461</v>
      </c>
      <c r="L19" s="548">
        <f t="shared" si="2"/>
        <v>0</v>
      </c>
      <c r="M19" s="474">
        <f t="shared" si="3"/>
        <v>14609.038461538461</v>
      </c>
      <c r="N19" s="476">
        <f t="shared" si="4"/>
        <v>0</v>
      </c>
      <c r="O19" s="476">
        <f t="shared" si="5"/>
        <v>0</v>
      </c>
      <c r="P19" s="241"/>
    </row>
    <row r="20" spans="2:16" ht="12.5">
      <c r="B20" s="160" t="str">
        <f t="shared" ref="B20:B72" si="6">IF(D20=F19,"","IU")</f>
        <v/>
      </c>
      <c r="C20" s="470">
        <f>IF(D11="","-",+C19+1)</f>
        <v>2013</v>
      </c>
      <c r="D20" s="477">
        <v>91606.510558069378</v>
      </c>
      <c r="E20" s="478">
        <v>1857.0384615384614</v>
      </c>
      <c r="F20" s="477">
        <v>89749.47209653091</v>
      </c>
      <c r="G20" s="478">
        <v>14674.038461538461</v>
      </c>
      <c r="H20" s="479">
        <v>14674.038461538461</v>
      </c>
      <c r="I20" s="473">
        <v>0</v>
      </c>
      <c r="J20" s="473"/>
      <c r="K20" s="474">
        <f t="shared" si="1"/>
        <v>14674.038461538461</v>
      </c>
      <c r="L20" s="548">
        <f t="shared" ref="L20:L25" si="7">IF(K20&lt;&gt;0,+G20-K20,0)</f>
        <v>0</v>
      </c>
      <c r="M20" s="474">
        <f t="shared" si="3"/>
        <v>14674.038461538461</v>
      </c>
      <c r="N20" s="476">
        <f t="shared" ref="N20:N25" si="8">IF(M20&lt;&gt;0,+H20-M20,0)</f>
        <v>0</v>
      </c>
      <c r="O20" s="476">
        <f t="shared" ref="O20:O25" si="9">+N20-L20</f>
        <v>0</v>
      </c>
      <c r="P20" s="241"/>
    </row>
    <row r="21" spans="2:16" ht="12.5">
      <c r="B21" s="160" t="str">
        <f t="shared" si="6"/>
        <v/>
      </c>
      <c r="C21" s="470">
        <f>IF(D11="","-",+C20+1)</f>
        <v>2014</v>
      </c>
      <c r="D21" s="477">
        <v>89749.47209653091</v>
      </c>
      <c r="E21" s="478">
        <v>1857.0384615384614</v>
      </c>
      <c r="F21" s="477">
        <v>87892.433634992442</v>
      </c>
      <c r="G21" s="478">
        <v>13956.038461538461</v>
      </c>
      <c r="H21" s="479">
        <v>13956.038461538461</v>
      </c>
      <c r="I21" s="473">
        <v>0</v>
      </c>
      <c r="J21" s="473"/>
      <c r="K21" s="474">
        <f t="shared" si="1"/>
        <v>13956.038461538461</v>
      </c>
      <c r="L21" s="548">
        <f t="shared" si="7"/>
        <v>0</v>
      </c>
      <c r="M21" s="474">
        <f t="shared" si="3"/>
        <v>13956.038461538461</v>
      </c>
      <c r="N21" s="476">
        <f t="shared" si="8"/>
        <v>0</v>
      </c>
      <c r="O21" s="476">
        <f t="shared" si="9"/>
        <v>0</v>
      </c>
      <c r="P21" s="241"/>
    </row>
    <row r="22" spans="2:16" ht="12.5">
      <c r="B22" s="160" t="str">
        <f t="shared" si="6"/>
        <v/>
      </c>
      <c r="C22" s="470">
        <f>IF(D11="","-",+C21+1)</f>
        <v>2015</v>
      </c>
      <c r="D22" s="477">
        <v>87892.433634992442</v>
      </c>
      <c r="E22" s="478">
        <v>1857.0384615384614</v>
      </c>
      <c r="F22" s="477">
        <v>86035.395173453973</v>
      </c>
      <c r="G22" s="478">
        <v>13719.038461538461</v>
      </c>
      <c r="H22" s="479">
        <v>13719.038461538461</v>
      </c>
      <c r="I22" s="473">
        <v>0</v>
      </c>
      <c r="J22" s="473"/>
      <c r="K22" s="474">
        <f t="shared" si="1"/>
        <v>13719.038461538461</v>
      </c>
      <c r="L22" s="548">
        <f t="shared" si="7"/>
        <v>0</v>
      </c>
      <c r="M22" s="474">
        <f t="shared" si="3"/>
        <v>13719.038461538461</v>
      </c>
      <c r="N22" s="476">
        <f t="shared" si="8"/>
        <v>0</v>
      </c>
      <c r="O22" s="476">
        <f t="shared" si="9"/>
        <v>0</v>
      </c>
      <c r="P22" s="241"/>
    </row>
    <row r="23" spans="2:16" ht="12.5">
      <c r="B23" s="160" t="str">
        <f t="shared" si="6"/>
        <v/>
      </c>
      <c r="C23" s="470">
        <f>IF(D11="","-",+C22+1)</f>
        <v>2016</v>
      </c>
      <c r="D23" s="477">
        <v>86035.395173453973</v>
      </c>
      <c r="E23" s="478">
        <v>1857.0384615384614</v>
      </c>
      <c r="F23" s="477">
        <v>84178.356711915505</v>
      </c>
      <c r="G23" s="478">
        <v>12898.038461538461</v>
      </c>
      <c r="H23" s="479">
        <v>12898.038461538461</v>
      </c>
      <c r="I23" s="473">
        <f t="shared" si="0"/>
        <v>0</v>
      </c>
      <c r="J23" s="473"/>
      <c r="K23" s="474">
        <f t="shared" ref="K23:K28" si="10">G23</f>
        <v>12898.038461538461</v>
      </c>
      <c r="L23" s="548">
        <f t="shared" si="7"/>
        <v>0</v>
      </c>
      <c r="M23" s="474">
        <f t="shared" ref="M23:M28" si="11">H23</f>
        <v>12898.038461538461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2017</v>
      </c>
      <c r="D24" s="477">
        <v>84178.356711915505</v>
      </c>
      <c r="E24" s="478">
        <v>2099.2608695652175</v>
      </c>
      <c r="F24" s="477">
        <v>82079.095842350289</v>
      </c>
      <c r="G24" s="478">
        <v>12544.260869565218</v>
      </c>
      <c r="H24" s="479">
        <v>12544.260869565218</v>
      </c>
      <c r="I24" s="473">
        <f t="shared" si="0"/>
        <v>0</v>
      </c>
      <c r="J24" s="473"/>
      <c r="K24" s="474">
        <f t="shared" si="10"/>
        <v>12544.260869565218</v>
      </c>
      <c r="L24" s="548">
        <f t="shared" si="7"/>
        <v>0</v>
      </c>
      <c r="M24" s="474">
        <f t="shared" si="11"/>
        <v>12544.260869565218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6"/>
        <v/>
      </c>
      <c r="C25" s="470">
        <f>IF(D11="","-",+C24+1)</f>
        <v>2018</v>
      </c>
      <c r="D25" s="477">
        <v>82079.095842350289</v>
      </c>
      <c r="E25" s="478">
        <v>2145.911111111111</v>
      </c>
      <c r="F25" s="477">
        <v>79933.184731239176</v>
      </c>
      <c r="G25" s="478">
        <v>11847.120662682713</v>
      </c>
      <c r="H25" s="479">
        <v>11847.120662682713</v>
      </c>
      <c r="I25" s="473">
        <f t="shared" si="0"/>
        <v>0</v>
      </c>
      <c r="J25" s="473"/>
      <c r="K25" s="474">
        <f t="shared" si="10"/>
        <v>11847.120662682713</v>
      </c>
      <c r="L25" s="548">
        <f t="shared" si="7"/>
        <v>0</v>
      </c>
      <c r="M25" s="474">
        <f t="shared" si="11"/>
        <v>11847.120662682713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2019</v>
      </c>
      <c r="D26" s="477">
        <v>79933.184731239176</v>
      </c>
      <c r="E26" s="478">
        <v>2414.15</v>
      </c>
      <c r="F26" s="477">
        <v>77519.034731239182</v>
      </c>
      <c r="G26" s="478">
        <v>11204.44220775155</v>
      </c>
      <c r="H26" s="479">
        <v>11204.44220775155</v>
      </c>
      <c r="I26" s="473">
        <f t="shared" si="0"/>
        <v>0</v>
      </c>
      <c r="J26" s="473"/>
      <c r="K26" s="474">
        <f t="shared" si="10"/>
        <v>11204.44220775155</v>
      </c>
      <c r="L26" s="548">
        <f t="shared" ref="L26" si="12">IF(K26&lt;&gt;0,+G26-K26,0)</f>
        <v>0</v>
      </c>
      <c r="M26" s="474">
        <f t="shared" si="11"/>
        <v>11204.44220775155</v>
      </c>
      <c r="N26" s="476">
        <f t="shared" ref="N26" si="13">IF(M26&lt;&gt;0,+H26-M26,0)</f>
        <v>0</v>
      </c>
      <c r="O26" s="476">
        <f t="shared" ref="O26" si="14">+N26-L26</f>
        <v>0</v>
      </c>
      <c r="P26" s="241"/>
    </row>
    <row r="27" spans="2:16" ht="12.5">
      <c r="B27" s="564" t="str">
        <f t="shared" si="6"/>
        <v>IU</v>
      </c>
      <c r="C27" s="470">
        <f>IF(D11="","-",+C26+1)</f>
        <v>2020</v>
      </c>
      <c r="D27" s="477">
        <v>77787.273620128064</v>
      </c>
      <c r="E27" s="478">
        <v>2299.1904761904761</v>
      </c>
      <c r="F27" s="477">
        <v>75488.083143937591</v>
      </c>
      <c r="G27" s="478">
        <v>10576.425832738674</v>
      </c>
      <c r="H27" s="479">
        <v>10576.425832738674</v>
      </c>
      <c r="I27" s="473">
        <f t="shared" si="0"/>
        <v>0</v>
      </c>
      <c r="J27" s="473"/>
      <c r="K27" s="474">
        <f t="shared" si="10"/>
        <v>10576.425832738674</v>
      </c>
      <c r="L27" s="548">
        <f t="shared" ref="L27" si="15">IF(K27&lt;&gt;0,+G27-K27,0)</f>
        <v>0</v>
      </c>
      <c r="M27" s="474">
        <f t="shared" si="11"/>
        <v>10576.425832738674</v>
      </c>
      <c r="N27" s="476">
        <f t="shared" si="4"/>
        <v>0</v>
      </c>
      <c r="O27" s="476">
        <f t="shared" si="5"/>
        <v>0</v>
      </c>
      <c r="P27" s="241"/>
    </row>
    <row r="28" spans="2:16" ht="12.5">
      <c r="B28" s="160" t="str">
        <f t="shared" si="6"/>
        <v>IU</v>
      </c>
      <c r="C28" s="470">
        <f>IF(D11="","-",+C27+1)</f>
        <v>2021</v>
      </c>
      <c r="D28" s="477">
        <v>75219.844255048723</v>
      </c>
      <c r="E28" s="478">
        <v>2245.7209302325582</v>
      </c>
      <c r="F28" s="477">
        <v>72974.123324816159</v>
      </c>
      <c r="G28" s="478">
        <v>10113.720930232557</v>
      </c>
      <c r="H28" s="479">
        <v>10113.720930232557</v>
      </c>
      <c r="I28" s="473">
        <f t="shared" si="0"/>
        <v>0</v>
      </c>
      <c r="J28" s="473"/>
      <c r="K28" s="474">
        <f t="shared" si="10"/>
        <v>10113.720930232557</v>
      </c>
      <c r="L28" s="548">
        <f t="shared" ref="L28" si="16">IF(K28&lt;&gt;0,+G28-K28,0)</f>
        <v>0</v>
      </c>
      <c r="M28" s="474">
        <f t="shared" si="11"/>
        <v>10113.720930232557</v>
      </c>
      <c r="N28" s="476">
        <f t="shared" si="4"/>
        <v>0</v>
      </c>
      <c r="O28" s="476">
        <f t="shared" si="5"/>
        <v>0</v>
      </c>
      <c r="P28" s="241"/>
    </row>
    <row r="29" spans="2:16" ht="12.5">
      <c r="B29" s="160" t="str">
        <f t="shared" si="6"/>
        <v/>
      </c>
      <c r="C29" s="470">
        <f>IF(D11="","-",+C28+1)</f>
        <v>2022</v>
      </c>
      <c r="D29" s="477">
        <v>72974.123324816159</v>
      </c>
      <c r="E29" s="478">
        <v>2299.1904761904761</v>
      </c>
      <c r="F29" s="477">
        <v>70674.932848625685</v>
      </c>
      <c r="G29" s="478">
        <v>9919.1904761904771</v>
      </c>
      <c r="H29" s="479">
        <v>9919.1904761904771</v>
      </c>
      <c r="I29" s="473">
        <f t="shared" si="0"/>
        <v>0</v>
      </c>
      <c r="J29" s="473"/>
      <c r="K29" s="474">
        <f t="shared" ref="K29" si="17">G29</f>
        <v>9919.1904761904771</v>
      </c>
      <c r="L29" s="548">
        <f t="shared" ref="L29" si="18">IF(K29&lt;&gt;0,+G29-K29,0)</f>
        <v>0</v>
      </c>
      <c r="M29" s="474">
        <f t="shared" ref="M29" si="19">H29</f>
        <v>9919.1904761904771</v>
      </c>
      <c r="N29" s="476">
        <f t="shared" si="4"/>
        <v>0</v>
      </c>
      <c r="O29" s="476">
        <f t="shared" si="5"/>
        <v>0</v>
      </c>
      <c r="P29" s="241"/>
    </row>
    <row r="30" spans="2:16" ht="12.5">
      <c r="B30" s="160" t="str">
        <f t="shared" si="6"/>
        <v/>
      </c>
      <c r="C30" s="470">
        <f>IF(D11="","-",+C29+1)</f>
        <v>2023</v>
      </c>
      <c r="D30" s="477">
        <v>70674.932848625685</v>
      </c>
      <c r="E30" s="478">
        <v>2476.0512820512822</v>
      </c>
      <c r="F30" s="477">
        <v>68198.881566574404</v>
      </c>
      <c r="G30" s="478">
        <v>10616.051282051281</v>
      </c>
      <c r="H30" s="479">
        <v>10616.051282051281</v>
      </c>
      <c r="I30" s="473">
        <f t="shared" si="0"/>
        <v>0</v>
      </c>
      <c r="J30" s="473"/>
      <c r="K30" s="474">
        <f t="shared" ref="K30" si="20">G30</f>
        <v>10616.051282051281</v>
      </c>
      <c r="L30" s="548">
        <f t="shared" ref="L30" si="21">IF(K30&lt;&gt;0,+G30-K30,0)</f>
        <v>0</v>
      </c>
      <c r="M30" s="474">
        <f t="shared" ref="M30" si="22">H30</f>
        <v>10616.051282051281</v>
      </c>
      <c r="N30" s="476">
        <f t="shared" si="4"/>
        <v>0</v>
      </c>
      <c r="O30" s="476">
        <f t="shared" si="5"/>
        <v>0</v>
      </c>
      <c r="P30" s="241"/>
    </row>
    <row r="31" spans="2:16" ht="12.5">
      <c r="B31" s="160" t="str">
        <f t="shared" si="6"/>
        <v/>
      </c>
      <c r="C31" s="470">
        <f>IF(D11="","-",+C30+1)</f>
        <v>2024</v>
      </c>
      <c r="D31" s="483">
        <f>IF(F30+SUM(E$17:E30)=D$10,F30,D$10-SUM(E$17:E30))</f>
        <v>68198.881566574404</v>
      </c>
      <c r="E31" s="482">
        <f>IF(+I14&lt;F30,I14,D31)</f>
        <v>2476.0512820512822</v>
      </c>
      <c r="F31" s="483">
        <f t="shared" ref="F31:F48" si="23">+D31-E31</f>
        <v>65722.830284523123</v>
      </c>
      <c r="G31" s="484">
        <f t="shared" ref="G31:G72" si="24">(D31+F31)/2*I$12+E31</f>
        <v>10468.428780405688</v>
      </c>
      <c r="H31" s="453">
        <f t="shared" ref="H31:H72" si="25">+(D31+F31)/2*I$13+E31</f>
        <v>10468.428780405688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 ht="12.5">
      <c r="B32" s="160" t="str">
        <f t="shared" si="6"/>
        <v/>
      </c>
      <c r="C32" s="470">
        <f>IF(D11="","-",+C31+1)</f>
        <v>2025</v>
      </c>
      <c r="D32" s="483">
        <f>IF(F31+SUM(E$17:E31)=D$10,F31,D$10-SUM(E$17:E31))</f>
        <v>65722.830284523123</v>
      </c>
      <c r="E32" s="482">
        <f>IF(+I14&lt;F31,I14,D32)</f>
        <v>2476.0512820512822</v>
      </c>
      <c r="F32" s="483">
        <f t="shared" si="23"/>
        <v>63246.779002471842</v>
      </c>
      <c r="G32" s="484">
        <f t="shared" si="24"/>
        <v>10172.889897607633</v>
      </c>
      <c r="H32" s="453">
        <f t="shared" si="25"/>
        <v>10172.889897607633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 ht="12.5">
      <c r="B33" s="160" t="str">
        <f t="shared" si="6"/>
        <v/>
      </c>
      <c r="C33" s="470">
        <f>IF(D11="","-",+C32+1)</f>
        <v>2026</v>
      </c>
      <c r="D33" s="483">
        <f>IF(F32+SUM(E$17:E32)=D$10,F32,D$10-SUM(E$17:E32))</f>
        <v>63246.779002471842</v>
      </c>
      <c r="E33" s="482">
        <f>IF(+I14&lt;F32,I14,D33)</f>
        <v>2476.0512820512822</v>
      </c>
      <c r="F33" s="483">
        <f t="shared" si="23"/>
        <v>60770.72772042056</v>
      </c>
      <c r="G33" s="484">
        <f t="shared" si="24"/>
        <v>9877.3510148095775</v>
      </c>
      <c r="H33" s="453">
        <f t="shared" si="25"/>
        <v>9877.3510148095775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 ht="12.5">
      <c r="B34" s="160" t="str">
        <f t="shared" si="6"/>
        <v/>
      </c>
      <c r="C34" s="470">
        <f>IF(D11="","-",+C33+1)</f>
        <v>2027</v>
      </c>
      <c r="D34" s="483">
        <f>IF(F33+SUM(E$17:E33)=D$10,F33,D$10-SUM(E$17:E33))</f>
        <v>60770.72772042056</v>
      </c>
      <c r="E34" s="482">
        <f>IF(+I14&lt;F33,I14,D34)</f>
        <v>2476.0512820512822</v>
      </c>
      <c r="F34" s="483">
        <f t="shared" si="23"/>
        <v>58294.676438369279</v>
      </c>
      <c r="G34" s="484">
        <f t="shared" si="24"/>
        <v>9581.8121320115206</v>
      </c>
      <c r="H34" s="453">
        <f t="shared" si="25"/>
        <v>9581.8121320115206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 ht="12.5">
      <c r="B35" s="160" t="str">
        <f t="shared" si="6"/>
        <v/>
      </c>
      <c r="C35" s="470">
        <f>IF(D11="","-",+C34+1)</f>
        <v>2028</v>
      </c>
      <c r="D35" s="483">
        <f>IF(F34+SUM(E$17:E34)=D$10,F34,D$10-SUM(E$17:E34))</f>
        <v>58294.676438369279</v>
      </c>
      <c r="E35" s="482">
        <f>IF(+I14&lt;F34,I14,D35)</f>
        <v>2476.0512820512822</v>
      </c>
      <c r="F35" s="483">
        <f t="shared" si="23"/>
        <v>55818.625156317998</v>
      </c>
      <c r="G35" s="484">
        <f t="shared" si="24"/>
        <v>9286.2732492134655</v>
      </c>
      <c r="H35" s="453">
        <f t="shared" si="25"/>
        <v>9286.2732492134655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 ht="12.5">
      <c r="B36" s="160" t="str">
        <f t="shared" si="6"/>
        <v/>
      </c>
      <c r="C36" s="470">
        <f>IF(D11="","-",+C35+1)</f>
        <v>2029</v>
      </c>
      <c r="D36" s="483">
        <f>IF(F35+SUM(E$17:E35)=D$10,F35,D$10-SUM(E$17:E35))</f>
        <v>55818.625156317998</v>
      </c>
      <c r="E36" s="482">
        <f>IF(+I14&lt;F35,I14,D36)</f>
        <v>2476.0512820512822</v>
      </c>
      <c r="F36" s="483">
        <f t="shared" si="23"/>
        <v>53342.573874266716</v>
      </c>
      <c r="G36" s="484">
        <f t="shared" si="24"/>
        <v>8990.7343664154105</v>
      </c>
      <c r="H36" s="453">
        <f t="shared" si="25"/>
        <v>8990.7343664154105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 ht="12.5">
      <c r="B37" s="160" t="str">
        <f t="shared" si="6"/>
        <v/>
      </c>
      <c r="C37" s="470">
        <f>IF(D11="","-",+C36+1)</f>
        <v>2030</v>
      </c>
      <c r="D37" s="483">
        <f>IF(F36+SUM(E$17:E36)=D$10,F36,D$10-SUM(E$17:E36))</f>
        <v>53342.573874266716</v>
      </c>
      <c r="E37" s="482">
        <f>IF(+I14&lt;F36,I14,D37)</f>
        <v>2476.0512820512822</v>
      </c>
      <c r="F37" s="483">
        <f t="shared" si="23"/>
        <v>50866.522592215435</v>
      </c>
      <c r="G37" s="484">
        <f t="shared" si="24"/>
        <v>8695.1954836173536</v>
      </c>
      <c r="H37" s="453">
        <f t="shared" si="25"/>
        <v>8695.1954836173536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 ht="12.5">
      <c r="B38" s="160" t="str">
        <f t="shared" si="6"/>
        <v/>
      </c>
      <c r="C38" s="470">
        <f>IF(D11="","-",+C37+1)</f>
        <v>2031</v>
      </c>
      <c r="D38" s="483">
        <f>IF(F37+SUM(E$17:E37)=D$10,F37,D$10-SUM(E$17:E37))</f>
        <v>50866.522592215435</v>
      </c>
      <c r="E38" s="482">
        <f>IF(+I14&lt;F37,I14,D38)</f>
        <v>2476.0512820512822</v>
      </c>
      <c r="F38" s="483">
        <f t="shared" si="23"/>
        <v>48390.471310164154</v>
      </c>
      <c r="G38" s="484">
        <f t="shared" si="24"/>
        <v>8399.6566008192985</v>
      </c>
      <c r="H38" s="453">
        <f t="shared" si="25"/>
        <v>8399.6566008192985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 ht="12.5">
      <c r="B39" s="160" t="str">
        <f t="shared" si="6"/>
        <v/>
      </c>
      <c r="C39" s="470">
        <f>IF(D11="","-",+C38+1)</f>
        <v>2032</v>
      </c>
      <c r="D39" s="483">
        <f>IF(F38+SUM(E$17:E38)=D$10,F38,D$10-SUM(E$17:E38))</f>
        <v>48390.471310164154</v>
      </c>
      <c r="E39" s="482">
        <f>IF(+I14&lt;F38,I14,D39)</f>
        <v>2476.0512820512822</v>
      </c>
      <c r="F39" s="483">
        <f t="shared" si="23"/>
        <v>45914.420028112872</v>
      </c>
      <c r="G39" s="484">
        <f t="shared" si="24"/>
        <v>8104.1177180212435</v>
      </c>
      <c r="H39" s="453">
        <f t="shared" si="25"/>
        <v>8104.1177180212435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 ht="12.5">
      <c r="B40" s="160" t="str">
        <f t="shared" si="6"/>
        <v/>
      </c>
      <c r="C40" s="470">
        <f>IF(D11="","-",+C39+1)</f>
        <v>2033</v>
      </c>
      <c r="D40" s="483">
        <f>IF(F39+SUM(E$17:E39)=D$10,F39,D$10-SUM(E$17:E39))</f>
        <v>45914.420028112872</v>
      </c>
      <c r="E40" s="482">
        <f>IF(+I14&lt;F39,I14,D40)</f>
        <v>2476.0512820512822</v>
      </c>
      <c r="F40" s="483">
        <f t="shared" si="23"/>
        <v>43438.368746061591</v>
      </c>
      <c r="G40" s="484">
        <f t="shared" si="24"/>
        <v>7808.5788352231875</v>
      </c>
      <c r="H40" s="453">
        <f t="shared" si="25"/>
        <v>7808.5788352231875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 ht="12.5">
      <c r="B41" s="160" t="str">
        <f t="shared" si="6"/>
        <v/>
      </c>
      <c r="C41" s="470">
        <f>IF(D11="","-",+C40+1)</f>
        <v>2034</v>
      </c>
      <c r="D41" s="483">
        <f>IF(F40+SUM(E$17:E40)=D$10,F40,D$10-SUM(E$17:E40))</f>
        <v>43438.368746061591</v>
      </c>
      <c r="E41" s="482">
        <f>IF(+I14&lt;F40,I14,D41)</f>
        <v>2476.0512820512822</v>
      </c>
      <c r="F41" s="483">
        <f t="shared" si="23"/>
        <v>40962.31746401031</v>
      </c>
      <c r="G41" s="484">
        <f t="shared" si="24"/>
        <v>7513.0399524251325</v>
      </c>
      <c r="H41" s="453">
        <f t="shared" si="25"/>
        <v>7513.0399524251325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 ht="12.5">
      <c r="B42" s="160" t="str">
        <f t="shared" si="6"/>
        <v/>
      </c>
      <c r="C42" s="470">
        <f>IF(D11="","-",+C41+1)</f>
        <v>2035</v>
      </c>
      <c r="D42" s="483">
        <f>IF(F41+SUM(E$17:E41)=D$10,F41,D$10-SUM(E$17:E41))</f>
        <v>40962.31746401031</v>
      </c>
      <c r="E42" s="482">
        <f>IF(+I14&lt;F41,I14,D42)</f>
        <v>2476.0512820512822</v>
      </c>
      <c r="F42" s="483">
        <f t="shared" si="23"/>
        <v>38486.266181959028</v>
      </c>
      <c r="G42" s="484">
        <f t="shared" si="24"/>
        <v>7217.5010696270765</v>
      </c>
      <c r="H42" s="453">
        <f t="shared" si="25"/>
        <v>7217.5010696270765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 ht="12.5">
      <c r="B43" s="160" t="str">
        <f t="shared" si="6"/>
        <v/>
      </c>
      <c r="C43" s="470">
        <f>IF(D11="","-",+C42+1)</f>
        <v>2036</v>
      </c>
      <c r="D43" s="483">
        <f>IF(F42+SUM(E$17:E42)=D$10,F42,D$10-SUM(E$17:E42))</f>
        <v>38486.266181959028</v>
      </c>
      <c r="E43" s="482">
        <f>IF(+I14&lt;F42,I14,D43)</f>
        <v>2476.0512820512822</v>
      </c>
      <c r="F43" s="483">
        <f t="shared" si="23"/>
        <v>36010.214899907747</v>
      </c>
      <c r="G43" s="484">
        <f t="shared" si="24"/>
        <v>6921.9621868290214</v>
      </c>
      <c r="H43" s="453">
        <f t="shared" si="25"/>
        <v>6921.9621868290214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 ht="12.5">
      <c r="B44" s="160" t="str">
        <f t="shared" si="6"/>
        <v/>
      </c>
      <c r="C44" s="470">
        <f>IF(D11="","-",+C43+1)</f>
        <v>2037</v>
      </c>
      <c r="D44" s="483">
        <f>IF(F43+SUM(E$17:E43)=D$10,F43,D$10-SUM(E$17:E43))</f>
        <v>36010.214899907747</v>
      </c>
      <c r="E44" s="482">
        <f>IF(+I14&lt;F43,I14,D44)</f>
        <v>2476.0512820512822</v>
      </c>
      <c r="F44" s="483">
        <f t="shared" si="23"/>
        <v>33534.163617856466</v>
      </c>
      <c r="G44" s="484">
        <f t="shared" si="24"/>
        <v>6626.4233040309655</v>
      </c>
      <c r="H44" s="453">
        <f t="shared" si="25"/>
        <v>6626.4233040309655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 ht="12.5">
      <c r="B45" s="160" t="str">
        <f t="shared" si="6"/>
        <v/>
      </c>
      <c r="C45" s="470">
        <f>IF(D11="","-",+C44+1)</f>
        <v>2038</v>
      </c>
      <c r="D45" s="483">
        <f>IF(F44+SUM(E$17:E44)=D$10,F44,D$10-SUM(E$17:E44))</f>
        <v>33534.163617856466</v>
      </c>
      <c r="E45" s="482">
        <f>IF(+I14&lt;F44,I14,D45)</f>
        <v>2476.0512820512822</v>
      </c>
      <c r="F45" s="483">
        <f t="shared" si="23"/>
        <v>31058.112335805185</v>
      </c>
      <c r="G45" s="484">
        <f t="shared" si="24"/>
        <v>6330.8844212329104</v>
      </c>
      <c r="H45" s="453">
        <f t="shared" si="25"/>
        <v>6330.8844212329104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 ht="12.5">
      <c r="B46" s="160" t="str">
        <f t="shared" si="6"/>
        <v/>
      </c>
      <c r="C46" s="470">
        <f>IF(D11="","-",+C45+1)</f>
        <v>2039</v>
      </c>
      <c r="D46" s="483">
        <f>IF(F45+SUM(E$17:E45)=D$10,F45,D$10-SUM(E$17:E45))</f>
        <v>31058.112335805185</v>
      </c>
      <c r="E46" s="482">
        <f>IF(+I14&lt;F45,I14,D46)</f>
        <v>2476.0512820512822</v>
      </c>
      <c r="F46" s="483">
        <f t="shared" si="23"/>
        <v>28582.061053753903</v>
      </c>
      <c r="G46" s="484">
        <f t="shared" si="24"/>
        <v>6035.3455384348545</v>
      </c>
      <c r="H46" s="453">
        <f t="shared" si="25"/>
        <v>6035.3455384348545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 ht="12.5">
      <c r="B47" s="160" t="str">
        <f t="shared" si="6"/>
        <v/>
      </c>
      <c r="C47" s="470">
        <f>IF(D11="","-",+C46+1)</f>
        <v>2040</v>
      </c>
      <c r="D47" s="483">
        <f>IF(F46+SUM(E$17:E46)=D$10,F46,D$10-SUM(E$17:E46))</f>
        <v>28582.061053753903</v>
      </c>
      <c r="E47" s="482">
        <f>IF(+I14&lt;F46,I14,D47)</f>
        <v>2476.0512820512822</v>
      </c>
      <c r="F47" s="483">
        <f t="shared" si="23"/>
        <v>26106.009771702622</v>
      </c>
      <c r="G47" s="484">
        <f t="shared" si="24"/>
        <v>5739.8066556367994</v>
      </c>
      <c r="H47" s="453">
        <f t="shared" si="25"/>
        <v>5739.8066556367994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 ht="12.5">
      <c r="B48" s="160" t="str">
        <f t="shared" si="6"/>
        <v/>
      </c>
      <c r="C48" s="470">
        <f>IF(D11="","-",+C47+1)</f>
        <v>2041</v>
      </c>
      <c r="D48" s="483">
        <f>IF(F47+SUM(E$17:E47)=D$10,F47,D$10-SUM(E$17:E47))</f>
        <v>26106.009771702622</v>
      </c>
      <c r="E48" s="482">
        <f>IF(+I14&lt;F47,I14,D48)</f>
        <v>2476.0512820512822</v>
      </c>
      <c r="F48" s="483">
        <f t="shared" si="23"/>
        <v>23629.958489651341</v>
      </c>
      <c r="G48" s="484">
        <f t="shared" si="24"/>
        <v>5444.2677728387443</v>
      </c>
      <c r="H48" s="453">
        <f t="shared" si="25"/>
        <v>5444.2677728387443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 ht="12.5">
      <c r="B49" s="160" t="str">
        <f t="shared" si="6"/>
        <v/>
      </c>
      <c r="C49" s="470">
        <f>IF(D11="","-",+C48+1)</f>
        <v>2042</v>
      </c>
      <c r="D49" s="483">
        <f>IF(F48+SUM(E$17:E48)=D$10,F48,D$10-SUM(E$17:E48))</f>
        <v>23629.958489651341</v>
      </c>
      <c r="E49" s="482">
        <f>IF(+I14&lt;F48,I14,D49)</f>
        <v>2476.0512820512822</v>
      </c>
      <c r="F49" s="483">
        <f t="shared" ref="F49:F72" si="26">+D49-E49</f>
        <v>21153.907207600059</v>
      </c>
      <c r="G49" s="484">
        <f t="shared" si="24"/>
        <v>5148.7288900406875</v>
      </c>
      <c r="H49" s="453">
        <f t="shared" si="25"/>
        <v>5148.7288900406875</v>
      </c>
      <c r="I49" s="473">
        <f t="shared" ref="I49:I72" si="27">H49-G49</f>
        <v>0</v>
      </c>
      <c r="J49" s="473"/>
      <c r="K49" s="485"/>
      <c r="L49" s="476">
        <f t="shared" ref="L49:L72" si="28">IF(K49&lt;&gt;0,+G49-K49,0)</f>
        <v>0</v>
      </c>
      <c r="M49" s="485"/>
      <c r="N49" s="476">
        <f t="shared" ref="N49:N72" si="29">IF(M49&lt;&gt;0,+H49-M49,0)</f>
        <v>0</v>
      </c>
      <c r="O49" s="476">
        <f t="shared" ref="O49:O72" si="30">+N49-L49</f>
        <v>0</v>
      </c>
      <c r="P49" s="241"/>
    </row>
    <row r="50" spans="2:16" ht="12.5">
      <c r="B50" s="160" t="str">
        <f t="shared" si="6"/>
        <v/>
      </c>
      <c r="C50" s="470">
        <f>IF(D11="","-",+C49+1)</f>
        <v>2043</v>
      </c>
      <c r="D50" s="483">
        <f>IF(F49+SUM(E$17:E49)=D$10,F49,D$10-SUM(E$17:E49))</f>
        <v>21153.907207600059</v>
      </c>
      <c r="E50" s="482">
        <f>IF(+I14&lt;F49,I14,D50)</f>
        <v>2476.0512820512822</v>
      </c>
      <c r="F50" s="483">
        <f t="shared" si="26"/>
        <v>18677.855925548778</v>
      </c>
      <c r="G50" s="484">
        <f t="shared" si="24"/>
        <v>4853.1900072426324</v>
      </c>
      <c r="H50" s="453">
        <f t="shared" si="25"/>
        <v>4853.1900072426324</v>
      </c>
      <c r="I50" s="473">
        <f t="shared" si="27"/>
        <v>0</v>
      </c>
      <c r="J50" s="473"/>
      <c r="K50" s="485"/>
      <c r="L50" s="476">
        <f t="shared" si="28"/>
        <v>0</v>
      </c>
      <c r="M50" s="485"/>
      <c r="N50" s="476">
        <f t="shared" si="29"/>
        <v>0</v>
      </c>
      <c r="O50" s="476">
        <f t="shared" si="30"/>
        <v>0</v>
      </c>
      <c r="P50" s="241"/>
    </row>
    <row r="51" spans="2:16" ht="12.5">
      <c r="B51" s="160" t="str">
        <f t="shared" si="6"/>
        <v/>
      </c>
      <c r="C51" s="470">
        <f>IF(D11="","-",+C50+1)</f>
        <v>2044</v>
      </c>
      <c r="D51" s="483">
        <f>IF(F50+SUM(E$17:E50)=D$10,F50,D$10-SUM(E$17:E50))</f>
        <v>18677.855925548778</v>
      </c>
      <c r="E51" s="482">
        <f>IF(+I14&lt;F50,I14,D51)</f>
        <v>2476.0512820512822</v>
      </c>
      <c r="F51" s="483">
        <f t="shared" si="26"/>
        <v>16201.804643497497</v>
      </c>
      <c r="G51" s="484">
        <f t="shared" si="24"/>
        <v>4557.6511244445774</v>
      </c>
      <c r="H51" s="453">
        <f t="shared" si="25"/>
        <v>4557.6511244445774</v>
      </c>
      <c r="I51" s="473">
        <f t="shared" si="27"/>
        <v>0</v>
      </c>
      <c r="J51" s="473"/>
      <c r="K51" s="485"/>
      <c r="L51" s="476">
        <f t="shared" si="28"/>
        <v>0</v>
      </c>
      <c r="M51" s="485"/>
      <c r="N51" s="476">
        <f t="shared" si="29"/>
        <v>0</v>
      </c>
      <c r="O51" s="476">
        <f t="shared" si="30"/>
        <v>0</v>
      </c>
      <c r="P51" s="241"/>
    </row>
    <row r="52" spans="2:16" ht="12.5">
      <c r="B52" s="160" t="str">
        <f t="shared" si="6"/>
        <v/>
      </c>
      <c r="C52" s="470">
        <f>IF(D11="","-",+C51+1)</f>
        <v>2045</v>
      </c>
      <c r="D52" s="483">
        <f>IF(F51+SUM(E$17:E51)=D$10,F51,D$10-SUM(E$17:E51))</f>
        <v>16201.804643497497</v>
      </c>
      <c r="E52" s="482">
        <f>IF(+I14&lt;F51,I14,D52)</f>
        <v>2476.0512820512822</v>
      </c>
      <c r="F52" s="483">
        <f t="shared" si="26"/>
        <v>13725.753361446215</v>
      </c>
      <c r="G52" s="484">
        <f t="shared" si="24"/>
        <v>4262.1122416465214</v>
      </c>
      <c r="H52" s="453">
        <f t="shared" si="25"/>
        <v>4262.1122416465214</v>
      </c>
      <c r="I52" s="473">
        <f t="shared" si="27"/>
        <v>0</v>
      </c>
      <c r="J52" s="473"/>
      <c r="K52" s="485"/>
      <c r="L52" s="476">
        <f t="shared" si="28"/>
        <v>0</v>
      </c>
      <c r="M52" s="485"/>
      <c r="N52" s="476">
        <f t="shared" si="29"/>
        <v>0</v>
      </c>
      <c r="O52" s="476">
        <f t="shared" si="30"/>
        <v>0</v>
      </c>
      <c r="P52" s="241"/>
    </row>
    <row r="53" spans="2:16" ht="12.5">
      <c r="B53" s="160" t="str">
        <f t="shared" si="6"/>
        <v/>
      </c>
      <c r="C53" s="470">
        <f>IF(D11="","-",+C52+1)</f>
        <v>2046</v>
      </c>
      <c r="D53" s="483">
        <f>IF(F52+SUM(E$17:E52)=D$10,F52,D$10-SUM(E$17:E52))</f>
        <v>13725.753361446215</v>
      </c>
      <c r="E53" s="482">
        <f>IF(+I14&lt;F52,I14,D53)</f>
        <v>2476.0512820512822</v>
      </c>
      <c r="F53" s="483">
        <f t="shared" si="26"/>
        <v>11249.702079394934</v>
      </c>
      <c r="G53" s="484">
        <f t="shared" si="24"/>
        <v>3966.5733588484663</v>
      </c>
      <c r="H53" s="453">
        <f t="shared" si="25"/>
        <v>3966.5733588484663</v>
      </c>
      <c r="I53" s="473">
        <f t="shared" si="27"/>
        <v>0</v>
      </c>
      <c r="J53" s="473"/>
      <c r="K53" s="485"/>
      <c r="L53" s="476">
        <f t="shared" si="28"/>
        <v>0</v>
      </c>
      <c r="M53" s="485"/>
      <c r="N53" s="476">
        <f t="shared" si="29"/>
        <v>0</v>
      </c>
      <c r="O53" s="476">
        <f t="shared" si="30"/>
        <v>0</v>
      </c>
      <c r="P53" s="241"/>
    </row>
    <row r="54" spans="2:16" ht="12.5">
      <c r="B54" s="160" t="str">
        <f t="shared" si="6"/>
        <v/>
      </c>
      <c r="C54" s="470">
        <f>IF(D11="","-",+C53+1)</f>
        <v>2047</v>
      </c>
      <c r="D54" s="483">
        <f>IF(F53+SUM(E$17:E53)=D$10,F53,D$10-SUM(E$17:E53))</f>
        <v>11249.702079394934</v>
      </c>
      <c r="E54" s="482">
        <f>IF(+I14&lt;F53,I14,D54)</f>
        <v>2476.0512820512822</v>
      </c>
      <c r="F54" s="483">
        <f t="shared" si="26"/>
        <v>8773.6507973436528</v>
      </c>
      <c r="G54" s="484">
        <f t="shared" si="24"/>
        <v>3671.0344760504104</v>
      </c>
      <c r="H54" s="453">
        <f t="shared" si="25"/>
        <v>3671.0344760504104</v>
      </c>
      <c r="I54" s="473">
        <f t="shared" si="27"/>
        <v>0</v>
      </c>
      <c r="J54" s="473"/>
      <c r="K54" s="485"/>
      <c r="L54" s="476">
        <f t="shared" si="28"/>
        <v>0</v>
      </c>
      <c r="M54" s="485"/>
      <c r="N54" s="476">
        <f t="shared" si="29"/>
        <v>0</v>
      </c>
      <c r="O54" s="476">
        <f t="shared" si="30"/>
        <v>0</v>
      </c>
      <c r="P54" s="241"/>
    </row>
    <row r="55" spans="2:16" ht="12.5">
      <c r="B55" s="160" t="str">
        <f t="shared" si="6"/>
        <v/>
      </c>
      <c r="C55" s="470">
        <f>IF(D11="","-",+C54+1)</f>
        <v>2048</v>
      </c>
      <c r="D55" s="483">
        <f>IF(F54+SUM(E$17:E54)=D$10,F54,D$10-SUM(E$17:E54))</f>
        <v>8773.6507973436528</v>
      </c>
      <c r="E55" s="482">
        <f>IF(+I14&lt;F54,I14,D55)</f>
        <v>2476.0512820512822</v>
      </c>
      <c r="F55" s="483">
        <f t="shared" si="26"/>
        <v>6297.5995152923706</v>
      </c>
      <c r="G55" s="484">
        <f t="shared" si="24"/>
        <v>3375.4955932523549</v>
      </c>
      <c r="H55" s="453">
        <f t="shared" si="25"/>
        <v>3375.4955932523549</v>
      </c>
      <c r="I55" s="473">
        <f t="shared" si="27"/>
        <v>0</v>
      </c>
      <c r="J55" s="473"/>
      <c r="K55" s="485"/>
      <c r="L55" s="476">
        <f t="shared" si="28"/>
        <v>0</v>
      </c>
      <c r="M55" s="485"/>
      <c r="N55" s="476">
        <f t="shared" si="29"/>
        <v>0</v>
      </c>
      <c r="O55" s="476">
        <f t="shared" si="30"/>
        <v>0</v>
      </c>
      <c r="P55" s="241"/>
    </row>
    <row r="56" spans="2:16" ht="12.5">
      <c r="B56" s="160" t="str">
        <f t="shared" si="6"/>
        <v/>
      </c>
      <c r="C56" s="470">
        <f>IF(D11="","-",+C55+1)</f>
        <v>2049</v>
      </c>
      <c r="D56" s="483">
        <f>IF(F55+SUM(E$17:E55)=D$10,F55,D$10-SUM(E$17:E55))</f>
        <v>6297.5995152923706</v>
      </c>
      <c r="E56" s="482">
        <f>IF(+I14&lt;F55,I14,D56)</f>
        <v>2476.0512820512822</v>
      </c>
      <c r="F56" s="483">
        <f t="shared" si="26"/>
        <v>3821.5482332410884</v>
      </c>
      <c r="G56" s="484">
        <f t="shared" si="24"/>
        <v>3079.9567104542994</v>
      </c>
      <c r="H56" s="453">
        <f t="shared" si="25"/>
        <v>3079.9567104542994</v>
      </c>
      <c r="I56" s="473">
        <f t="shared" si="27"/>
        <v>0</v>
      </c>
      <c r="J56" s="473"/>
      <c r="K56" s="485"/>
      <c r="L56" s="476">
        <f t="shared" si="28"/>
        <v>0</v>
      </c>
      <c r="M56" s="485"/>
      <c r="N56" s="476">
        <f t="shared" si="29"/>
        <v>0</v>
      </c>
      <c r="O56" s="476">
        <f t="shared" si="30"/>
        <v>0</v>
      </c>
      <c r="P56" s="241"/>
    </row>
    <row r="57" spans="2:16" ht="12.5">
      <c r="B57" s="160" t="str">
        <f t="shared" si="6"/>
        <v/>
      </c>
      <c r="C57" s="470">
        <f>IF(D11="","-",+C56+1)</f>
        <v>2050</v>
      </c>
      <c r="D57" s="483">
        <f>IF(F56+SUM(E$17:E56)=D$10,F56,D$10-SUM(E$17:E56))</f>
        <v>3821.5482332410884</v>
      </c>
      <c r="E57" s="482">
        <f>IF(+I14&lt;F56,I14,D57)</f>
        <v>2476.0512820512822</v>
      </c>
      <c r="F57" s="483">
        <f t="shared" si="26"/>
        <v>1345.4969511898062</v>
      </c>
      <c r="G57" s="484">
        <f t="shared" si="24"/>
        <v>2784.4178276562438</v>
      </c>
      <c r="H57" s="453">
        <f t="shared" si="25"/>
        <v>2784.4178276562438</v>
      </c>
      <c r="I57" s="473">
        <f t="shared" si="27"/>
        <v>0</v>
      </c>
      <c r="J57" s="473"/>
      <c r="K57" s="485"/>
      <c r="L57" s="476">
        <f t="shared" si="28"/>
        <v>0</v>
      </c>
      <c r="M57" s="485"/>
      <c r="N57" s="476">
        <f t="shared" si="29"/>
        <v>0</v>
      </c>
      <c r="O57" s="476">
        <f t="shared" si="30"/>
        <v>0</v>
      </c>
      <c r="P57" s="241"/>
    </row>
    <row r="58" spans="2:16" ht="12.5">
      <c r="B58" s="160" t="str">
        <f t="shared" si="6"/>
        <v/>
      </c>
      <c r="C58" s="470">
        <f>IF(D11="","-",+C57+1)</f>
        <v>2051</v>
      </c>
      <c r="D58" s="483">
        <f>IF(F57+SUM(E$17:E57)=D$10,F57,D$10-SUM(E$17:E57))</f>
        <v>1345.4969511898062</v>
      </c>
      <c r="E58" s="482">
        <f>IF(+I14&lt;F57,I14,D58)</f>
        <v>1345.4969511898062</v>
      </c>
      <c r="F58" s="483">
        <f t="shared" si="26"/>
        <v>0</v>
      </c>
      <c r="G58" s="484">
        <f t="shared" si="24"/>
        <v>1425.795503292773</v>
      </c>
      <c r="H58" s="453">
        <f t="shared" si="25"/>
        <v>1425.795503292773</v>
      </c>
      <c r="I58" s="473">
        <f t="shared" si="27"/>
        <v>0</v>
      </c>
      <c r="J58" s="473"/>
      <c r="K58" s="485"/>
      <c r="L58" s="476">
        <f t="shared" si="28"/>
        <v>0</v>
      </c>
      <c r="M58" s="485"/>
      <c r="N58" s="476">
        <f t="shared" si="29"/>
        <v>0</v>
      </c>
      <c r="O58" s="476">
        <f t="shared" si="30"/>
        <v>0</v>
      </c>
      <c r="P58" s="241"/>
    </row>
    <row r="59" spans="2:16" ht="12.5">
      <c r="B59" s="160" t="str">
        <f t="shared" si="6"/>
        <v/>
      </c>
      <c r="C59" s="470">
        <f>IF(D11="","-",+C58+1)</f>
        <v>2052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6"/>
        <v>0</v>
      </c>
      <c r="G59" s="484">
        <f t="shared" si="24"/>
        <v>0</v>
      </c>
      <c r="H59" s="453">
        <f t="shared" si="25"/>
        <v>0</v>
      </c>
      <c r="I59" s="473">
        <f t="shared" si="27"/>
        <v>0</v>
      </c>
      <c r="J59" s="473"/>
      <c r="K59" s="485"/>
      <c r="L59" s="476">
        <f t="shared" si="28"/>
        <v>0</v>
      </c>
      <c r="M59" s="485"/>
      <c r="N59" s="476">
        <f t="shared" si="29"/>
        <v>0</v>
      </c>
      <c r="O59" s="476">
        <f t="shared" si="30"/>
        <v>0</v>
      </c>
      <c r="P59" s="241"/>
    </row>
    <row r="60" spans="2:16" ht="12.5">
      <c r="B60" s="160" t="str">
        <f t="shared" si="6"/>
        <v/>
      </c>
      <c r="C60" s="470">
        <f>IF(D11="","-",+C59+1)</f>
        <v>2053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6"/>
        <v>0</v>
      </c>
      <c r="G60" s="484">
        <f t="shared" si="24"/>
        <v>0</v>
      </c>
      <c r="H60" s="453">
        <f t="shared" si="25"/>
        <v>0</v>
      </c>
      <c r="I60" s="473">
        <f t="shared" si="27"/>
        <v>0</v>
      </c>
      <c r="J60" s="473"/>
      <c r="K60" s="485"/>
      <c r="L60" s="476">
        <f t="shared" si="28"/>
        <v>0</v>
      </c>
      <c r="M60" s="485"/>
      <c r="N60" s="476">
        <f t="shared" si="29"/>
        <v>0</v>
      </c>
      <c r="O60" s="476">
        <f t="shared" si="30"/>
        <v>0</v>
      </c>
      <c r="P60" s="241"/>
    </row>
    <row r="61" spans="2:16" ht="12.5">
      <c r="B61" s="160" t="str">
        <f t="shared" si="6"/>
        <v/>
      </c>
      <c r="C61" s="470">
        <f>IF(D11="","-",+C60+1)</f>
        <v>2054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6"/>
        <v>0</v>
      </c>
      <c r="G61" s="484">
        <f t="shared" si="24"/>
        <v>0</v>
      </c>
      <c r="H61" s="453">
        <f t="shared" si="25"/>
        <v>0</v>
      </c>
      <c r="I61" s="473">
        <f t="shared" si="27"/>
        <v>0</v>
      </c>
      <c r="J61" s="473"/>
      <c r="K61" s="485"/>
      <c r="L61" s="476">
        <f t="shared" si="28"/>
        <v>0</v>
      </c>
      <c r="M61" s="485"/>
      <c r="N61" s="476">
        <f t="shared" si="29"/>
        <v>0</v>
      </c>
      <c r="O61" s="476">
        <f t="shared" si="30"/>
        <v>0</v>
      </c>
      <c r="P61" s="241"/>
    </row>
    <row r="62" spans="2:16" ht="12.5">
      <c r="B62" s="160" t="str">
        <f t="shared" si="6"/>
        <v/>
      </c>
      <c r="C62" s="470">
        <f>IF(D11="","-",+C61+1)</f>
        <v>2055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6"/>
        <v>0</v>
      </c>
      <c r="G62" s="484">
        <f t="shared" si="24"/>
        <v>0</v>
      </c>
      <c r="H62" s="453">
        <f t="shared" si="25"/>
        <v>0</v>
      </c>
      <c r="I62" s="473">
        <f t="shared" si="27"/>
        <v>0</v>
      </c>
      <c r="J62" s="473"/>
      <c r="K62" s="485"/>
      <c r="L62" s="476">
        <f t="shared" si="28"/>
        <v>0</v>
      </c>
      <c r="M62" s="485"/>
      <c r="N62" s="476">
        <f t="shared" si="29"/>
        <v>0</v>
      </c>
      <c r="O62" s="476">
        <f t="shared" si="30"/>
        <v>0</v>
      </c>
      <c r="P62" s="241"/>
    </row>
    <row r="63" spans="2:16" ht="12.5">
      <c r="B63" s="160" t="str">
        <f t="shared" si="6"/>
        <v/>
      </c>
      <c r="C63" s="470">
        <f>IF(D11="","-",+C62+1)</f>
        <v>2056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6"/>
        <v>0</v>
      </c>
      <c r="G63" s="484">
        <f t="shared" si="24"/>
        <v>0</v>
      </c>
      <c r="H63" s="453">
        <f t="shared" si="25"/>
        <v>0</v>
      </c>
      <c r="I63" s="473">
        <f t="shared" si="27"/>
        <v>0</v>
      </c>
      <c r="J63" s="473"/>
      <c r="K63" s="485"/>
      <c r="L63" s="476">
        <f t="shared" si="28"/>
        <v>0</v>
      </c>
      <c r="M63" s="485"/>
      <c r="N63" s="476">
        <f t="shared" si="29"/>
        <v>0</v>
      </c>
      <c r="O63" s="476">
        <f t="shared" si="30"/>
        <v>0</v>
      </c>
      <c r="P63" s="241"/>
    </row>
    <row r="64" spans="2:16" ht="12.5">
      <c r="B64" s="160" t="str">
        <f t="shared" si="6"/>
        <v/>
      </c>
      <c r="C64" s="470">
        <f>IF(D11="","-",+C63+1)</f>
        <v>2057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6"/>
        <v>0</v>
      </c>
      <c r="G64" s="484">
        <f t="shared" si="24"/>
        <v>0</v>
      </c>
      <c r="H64" s="453">
        <f t="shared" si="25"/>
        <v>0</v>
      </c>
      <c r="I64" s="473">
        <f t="shared" si="27"/>
        <v>0</v>
      </c>
      <c r="J64" s="473"/>
      <c r="K64" s="485"/>
      <c r="L64" s="476">
        <f t="shared" si="28"/>
        <v>0</v>
      </c>
      <c r="M64" s="485"/>
      <c r="N64" s="476">
        <f t="shared" si="29"/>
        <v>0</v>
      </c>
      <c r="O64" s="476">
        <f t="shared" si="30"/>
        <v>0</v>
      </c>
      <c r="P64" s="241"/>
    </row>
    <row r="65" spans="2:16" ht="12.5">
      <c r="B65" s="563" t="str">
        <f t="shared" si="6"/>
        <v/>
      </c>
      <c r="C65" s="470">
        <f>IF(D11="","-",+C64+1)</f>
        <v>2058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6"/>
        <v>0</v>
      </c>
      <c r="G65" s="484">
        <f t="shared" si="24"/>
        <v>0</v>
      </c>
      <c r="H65" s="453">
        <f t="shared" si="25"/>
        <v>0</v>
      </c>
      <c r="I65" s="473">
        <f t="shared" si="27"/>
        <v>0</v>
      </c>
      <c r="J65" s="473"/>
      <c r="K65" s="485"/>
      <c r="L65" s="476">
        <f t="shared" si="28"/>
        <v>0</v>
      </c>
      <c r="M65" s="485"/>
      <c r="N65" s="476">
        <f t="shared" si="29"/>
        <v>0</v>
      </c>
      <c r="O65" s="476">
        <f t="shared" si="30"/>
        <v>0</v>
      </c>
      <c r="P65" s="241"/>
    </row>
    <row r="66" spans="2:16" ht="12.5">
      <c r="B66" s="160" t="str">
        <f t="shared" si="6"/>
        <v/>
      </c>
      <c r="C66" s="470">
        <f>IF(D11="","-",+C65+1)</f>
        <v>2059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6"/>
        <v>0</v>
      </c>
      <c r="G66" s="484">
        <f t="shared" si="24"/>
        <v>0</v>
      </c>
      <c r="H66" s="453">
        <f t="shared" si="25"/>
        <v>0</v>
      </c>
      <c r="I66" s="473">
        <f t="shared" si="27"/>
        <v>0</v>
      </c>
      <c r="J66" s="473"/>
      <c r="K66" s="485"/>
      <c r="L66" s="476">
        <f t="shared" si="28"/>
        <v>0</v>
      </c>
      <c r="M66" s="485"/>
      <c r="N66" s="476">
        <f t="shared" si="29"/>
        <v>0</v>
      </c>
      <c r="O66" s="476">
        <f t="shared" si="30"/>
        <v>0</v>
      </c>
      <c r="P66" s="241"/>
    </row>
    <row r="67" spans="2:16" ht="12.5">
      <c r="B67" s="160" t="str">
        <f t="shared" si="6"/>
        <v/>
      </c>
      <c r="C67" s="470">
        <f>IF(D11="","-",+C66+1)</f>
        <v>2060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6"/>
        <v>0</v>
      </c>
      <c r="G67" s="484">
        <f t="shared" si="24"/>
        <v>0</v>
      </c>
      <c r="H67" s="453">
        <f t="shared" si="25"/>
        <v>0</v>
      </c>
      <c r="I67" s="473">
        <f t="shared" si="27"/>
        <v>0</v>
      </c>
      <c r="J67" s="473"/>
      <c r="K67" s="485"/>
      <c r="L67" s="476">
        <f t="shared" si="28"/>
        <v>0</v>
      </c>
      <c r="M67" s="485"/>
      <c r="N67" s="476">
        <f t="shared" si="29"/>
        <v>0</v>
      </c>
      <c r="O67" s="476">
        <f t="shared" si="30"/>
        <v>0</v>
      </c>
      <c r="P67" s="241"/>
    </row>
    <row r="68" spans="2:16" ht="12.5">
      <c r="B68" s="160" t="str">
        <f t="shared" si="6"/>
        <v/>
      </c>
      <c r="C68" s="470">
        <f>IF(D11="","-",+C67+1)</f>
        <v>2061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6"/>
        <v>0</v>
      </c>
      <c r="G68" s="484">
        <f t="shared" si="24"/>
        <v>0</v>
      </c>
      <c r="H68" s="453">
        <f t="shared" si="25"/>
        <v>0</v>
      </c>
      <c r="I68" s="473">
        <f t="shared" si="27"/>
        <v>0</v>
      </c>
      <c r="J68" s="473"/>
      <c r="K68" s="485"/>
      <c r="L68" s="476">
        <f t="shared" si="28"/>
        <v>0</v>
      </c>
      <c r="M68" s="485"/>
      <c r="N68" s="476">
        <f t="shared" si="29"/>
        <v>0</v>
      </c>
      <c r="O68" s="476">
        <f t="shared" si="30"/>
        <v>0</v>
      </c>
      <c r="P68" s="241"/>
    </row>
    <row r="69" spans="2:16" ht="12.5">
      <c r="B69" s="160" t="str">
        <f t="shared" si="6"/>
        <v/>
      </c>
      <c r="C69" s="470">
        <f>IF(D11="","-",+C68+1)</f>
        <v>2062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6"/>
        <v>0</v>
      </c>
      <c r="G69" s="484">
        <f t="shared" si="24"/>
        <v>0</v>
      </c>
      <c r="H69" s="453">
        <f t="shared" si="25"/>
        <v>0</v>
      </c>
      <c r="I69" s="473">
        <f t="shared" si="27"/>
        <v>0</v>
      </c>
      <c r="J69" s="473"/>
      <c r="K69" s="485"/>
      <c r="L69" s="476">
        <f t="shared" si="28"/>
        <v>0</v>
      </c>
      <c r="M69" s="485"/>
      <c r="N69" s="476">
        <f t="shared" si="29"/>
        <v>0</v>
      </c>
      <c r="O69" s="476">
        <f t="shared" si="30"/>
        <v>0</v>
      </c>
      <c r="P69" s="241"/>
    </row>
    <row r="70" spans="2:16" ht="12.5">
      <c r="B70" s="160" t="str">
        <f t="shared" si="6"/>
        <v/>
      </c>
      <c r="C70" s="470">
        <f>IF(D11="","-",+C69+1)</f>
        <v>2063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6"/>
        <v>0</v>
      </c>
      <c r="G70" s="484">
        <f t="shared" si="24"/>
        <v>0</v>
      </c>
      <c r="H70" s="453">
        <f t="shared" si="25"/>
        <v>0</v>
      </c>
      <c r="I70" s="473">
        <f t="shared" si="27"/>
        <v>0</v>
      </c>
      <c r="J70" s="473"/>
      <c r="K70" s="485"/>
      <c r="L70" s="476">
        <f t="shared" si="28"/>
        <v>0</v>
      </c>
      <c r="M70" s="485"/>
      <c r="N70" s="476">
        <f t="shared" si="29"/>
        <v>0</v>
      </c>
      <c r="O70" s="476">
        <f t="shared" si="30"/>
        <v>0</v>
      </c>
      <c r="P70" s="241"/>
    </row>
    <row r="71" spans="2:16" ht="12.5">
      <c r="B71" s="160" t="str">
        <f t="shared" si="6"/>
        <v/>
      </c>
      <c r="C71" s="470">
        <f>IF(D11="","-",+C70+1)</f>
        <v>2064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6"/>
        <v>0</v>
      </c>
      <c r="G71" s="484">
        <f t="shared" si="24"/>
        <v>0</v>
      </c>
      <c r="H71" s="453">
        <f t="shared" si="25"/>
        <v>0</v>
      </c>
      <c r="I71" s="473">
        <f t="shared" si="27"/>
        <v>0</v>
      </c>
      <c r="J71" s="473"/>
      <c r="K71" s="485"/>
      <c r="L71" s="476">
        <f t="shared" si="28"/>
        <v>0</v>
      </c>
      <c r="M71" s="485"/>
      <c r="N71" s="476">
        <f t="shared" si="29"/>
        <v>0</v>
      </c>
      <c r="O71" s="476">
        <f t="shared" si="30"/>
        <v>0</v>
      </c>
      <c r="P71" s="241"/>
    </row>
    <row r="72" spans="2:16" ht="13" thickBot="1">
      <c r="B72" s="160" t="str">
        <f t="shared" si="6"/>
        <v/>
      </c>
      <c r="C72" s="487">
        <f>IF(D11="","-",+C71+1)</f>
        <v>2065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6"/>
        <v>0</v>
      </c>
      <c r="G72" s="488">
        <f t="shared" si="24"/>
        <v>0</v>
      </c>
      <c r="H72" s="488">
        <f t="shared" si="25"/>
        <v>0</v>
      </c>
      <c r="I72" s="491">
        <f t="shared" si="27"/>
        <v>0</v>
      </c>
      <c r="J72" s="473"/>
      <c r="K72" s="492"/>
      <c r="L72" s="493">
        <f t="shared" si="28"/>
        <v>0</v>
      </c>
      <c r="M72" s="492"/>
      <c r="N72" s="493">
        <f t="shared" si="29"/>
        <v>0</v>
      </c>
      <c r="O72" s="493">
        <f t="shared" si="30"/>
        <v>0</v>
      </c>
      <c r="P72" s="241"/>
    </row>
    <row r="73" spans="2:16" ht="12.5">
      <c r="C73" s="345" t="s">
        <v>77</v>
      </c>
      <c r="D73" s="346"/>
      <c r="E73" s="346">
        <f>SUM(E17:E72)</f>
        <v>96566</v>
      </c>
      <c r="F73" s="346"/>
      <c r="G73" s="346">
        <f>SUM(G17:G72)</f>
        <v>364113.08026142576</v>
      </c>
      <c r="H73" s="346">
        <f>SUM(H17:H72)</f>
        <v>364113.08026142576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10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10616.051282051281</v>
      </c>
      <c r="N87" s="506">
        <f>IF(J92&lt;D11,0,VLOOKUP(J92,C17:O72,11))</f>
        <v>10616.051282051281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10444.141346801007</v>
      </c>
      <c r="N88" s="510">
        <f>IF(J92&lt;D11,0,VLOOKUP(J92,C99:P154,7))</f>
        <v>10444.141346801007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Wavetrap Clinton City-Foss Tap 69kV Ckt 1*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-171.90993525027443</v>
      </c>
      <c r="N89" s="515">
        <f>+N88-N87</f>
        <v>-171.90993525027443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TP2009011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96566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2010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2541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2010</v>
      </c>
      <c r="D99" s="471">
        <v>0</v>
      </c>
      <c r="E99" s="478">
        <v>946.5</v>
      </c>
      <c r="F99" s="477">
        <v>95619.5</v>
      </c>
      <c r="G99" s="535">
        <v>47809.75</v>
      </c>
      <c r="H99" s="536">
        <v>8635.0355480484341</v>
      </c>
      <c r="I99" s="537">
        <v>8635.0355480484341</v>
      </c>
      <c r="J99" s="476">
        <f t="shared" ref="J99:J130" si="31">+I99-H99</f>
        <v>0</v>
      </c>
      <c r="K99" s="476"/>
      <c r="L99" s="565">
        <f t="shared" ref="L99:L104" si="32">H99</f>
        <v>8635.0355480484341</v>
      </c>
      <c r="M99" s="566">
        <f t="shared" ref="M99:M130" si="33">IF(L99&lt;&gt;0,+H99-L99,0)</f>
        <v>0</v>
      </c>
      <c r="N99" s="565">
        <f t="shared" ref="N99:N104" si="34">I99</f>
        <v>8635.0355480484341</v>
      </c>
      <c r="O99" s="475">
        <f t="shared" ref="O99:O130" si="35">IF(N99&lt;&gt;0,+I99-N99,0)</f>
        <v>0</v>
      </c>
      <c r="P99" s="475">
        <f t="shared" ref="P99:P130" si="36">+O99-M99</f>
        <v>0</v>
      </c>
    </row>
    <row r="100" spans="1:16" ht="12.5">
      <c r="B100" s="160" t="str">
        <f>IF(D100=F99,"","IU")</f>
        <v/>
      </c>
      <c r="C100" s="470">
        <f>IF(D93="","-",+C99+1)</f>
        <v>2011</v>
      </c>
      <c r="D100" s="471">
        <v>95619.5</v>
      </c>
      <c r="E100" s="478">
        <v>1857</v>
      </c>
      <c r="F100" s="477">
        <v>93762.5</v>
      </c>
      <c r="G100" s="477">
        <v>94691</v>
      </c>
      <c r="H100" s="478">
        <v>15096.07425133265</v>
      </c>
      <c r="I100" s="479">
        <v>15096.07425133265</v>
      </c>
      <c r="J100" s="476">
        <f t="shared" si="31"/>
        <v>0</v>
      </c>
      <c r="K100" s="476"/>
      <c r="L100" s="538">
        <f t="shared" si="32"/>
        <v>15096.07425133265</v>
      </c>
      <c r="M100" s="539">
        <f t="shared" si="33"/>
        <v>0</v>
      </c>
      <c r="N100" s="538">
        <f t="shared" si="34"/>
        <v>15096.07425133265</v>
      </c>
      <c r="O100" s="476">
        <f t="shared" si="35"/>
        <v>0</v>
      </c>
      <c r="P100" s="476">
        <f t="shared" si="36"/>
        <v>0</v>
      </c>
    </row>
    <row r="101" spans="1:16" ht="12.5">
      <c r="B101" s="160" t="str">
        <f t="shared" ref="B101:B154" si="37">IF(D101=F100,"","IU")</f>
        <v/>
      </c>
      <c r="C101" s="470">
        <f>IF(D93="","-",+C100+1)</f>
        <v>2012</v>
      </c>
      <c r="D101" s="471">
        <v>93762.5</v>
      </c>
      <c r="E101" s="478">
        <v>1857</v>
      </c>
      <c r="F101" s="477">
        <v>91905.5</v>
      </c>
      <c r="G101" s="477">
        <v>92834</v>
      </c>
      <c r="H101" s="478">
        <v>15211.679797187964</v>
      </c>
      <c r="I101" s="479">
        <v>15211.679797187964</v>
      </c>
      <c r="J101" s="476">
        <v>0</v>
      </c>
      <c r="K101" s="476"/>
      <c r="L101" s="538">
        <f t="shared" si="32"/>
        <v>15211.679797187964</v>
      </c>
      <c r="M101" s="539">
        <f t="shared" ref="M101:M106" si="38">IF(L101&lt;&gt;0,+H101-L101,0)</f>
        <v>0</v>
      </c>
      <c r="N101" s="538">
        <f t="shared" si="34"/>
        <v>15211.679797187964</v>
      </c>
      <c r="O101" s="476">
        <f t="shared" ref="O101:O106" si="39">IF(N101&lt;&gt;0,+I101-N101,0)</f>
        <v>0</v>
      </c>
      <c r="P101" s="476">
        <f t="shared" ref="P101:P106" si="40">+O101-M101</f>
        <v>0</v>
      </c>
    </row>
    <row r="102" spans="1:16" ht="12.5">
      <c r="B102" s="160" t="str">
        <f t="shared" si="37"/>
        <v/>
      </c>
      <c r="C102" s="470">
        <f>IF(D93="","-",+C101+1)</f>
        <v>2013</v>
      </c>
      <c r="D102" s="471">
        <v>91905.5</v>
      </c>
      <c r="E102" s="478">
        <v>1857</v>
      </c>
      <c r="F102" s="477">
        <v>90048.5</v>
      </c>
      <c r="G102" s="477">
        <v>90977</v>
      </c>
      <c r="H102" s="478">
        <v>14952.192437840908</v>
      </c>
      <c r="I102" s="479">
        <v>14952.192437840908</v>
      </c>
      <c r="J102" s="476">
        <v>0</v>
      </c>
      <c r="K102" s="476"/>
      <c r="L102" s="538">
        <f t="shared" si="32"/>
        <v>14952.192437840908</v>
      </c>
      <c r="M102" s="539">
        <f t="shared" si="38"/>
        <v>0</v>
      </c>
      <c r="N102" s="538">
        <f t="shared" si="34"/>
        <v>14952.192437840908</v>
      </c>
      <c r="O102" s="476">
        <f t="shared" si="39"/>
        <v>0</v>
      </c>
      <c r="P102" s="476">
        <f t="shared" si="40"/>
        <v>0</v>
      </c>
    </row>
    <row r="103" spans="1:16" ht="12.5">
      <c r="B103" s="160" t="str">
        <f t="shared" si="37"/>
        <v/>
      </c>
      <c r="C103" s="470">
        <f>IF(D93="","-",+C102+1)</f>
        <v>2014</v>
      </c>
      <c r="D103" s="471">
        <v>90048.5</v>
      </c>
      <c r="E103" s="478">
        <v>1857</v>
      </c>
      <c r="F103" s="477">
        <v>88191.5</v>
      </c>
      <c r="G103" s="477">
        <v>89120</v>
      </c>
      <c r="H103" s="478">
        <v>14386.907699066522</v>
      </c>
      <c r="I103" s="479">
        <v>14386.907699066522</v>
      </c>
      <c r="J103" s="476">
        <v>0</v>
      </c>
      <c r="K103" s="476"/>
      <c r="L103" s="538">
        <f t="shared" si="32"/>
        <v>14386.907699066522</v>
      </c>
      <c r="M103" s="539">
        <f t="shared" si="38"/>
        <v>0</v>
      </c>
      <c r="N103" s="538">
        <f t="shared" si="34"/>
        <v>14386.907699066522</v>
      </c>
      <c r="O103" s="476">
        <f t="shared" si="39"/>
        <v>0</v>
      </c>
      <c r="P103" s="476">
        <f t="shared" si="40"/>
        <v>0</v>
      </c>
    </row>
    <row r="104" spans="1:16" ht="12.5">
      <c r="B104" s="160" t="str">
        <f t="shared" si="37"/>
        <v/>
      </c>
      <c r="C104" s="470">
        <f>IF(D93="","-",+C103+1)</f>
        <v>2015</v>
      </c>
      <c r="D104" s="471">
        <v>88191.5</v>
      </c>
      <c r="E104" s="478">
        <v>1857</v>
      </c>
      <c r="F104" s="477">
        <v>86334.5</v>
      </c>
      <c r="G104" s="477">
        <v>87263</v>
      </c>
      <c r="H104" s="478">
        <v>13763.334720904193</v>
      </c>
      <c r="I104" s="479">
        <v>13763.334720904193</v>
      </c>
      <c r="J104" s="476">
        <f t="shared" si="31"/>
        <v>0</v>
      </c>
      <c r="K104" s="476"/>
      <c r="L104" s="538">
        <f t="shared" si="32"/>
        <v>13763.334720904193</v>
      </c>
      <c r="M104" s="539">
        <f t="shared" si="38"/>
        <v>0</v>
      </c>
      <c r="N104" s="538">
        <f t="shared" si="34"/>
        <v>13763.334720904193</v>
      </c>
      <c r="O104" s="476">
        <f t="shared" si="39"/>
        <v>0</v>
      </c>
      <c r="P104" s="476">
        <f t="shared" si="40"/>
        <v>0</v>
      </c>
    </row>
    <row r="105" spans="1:16" ht="12.5">
      <c r="B105" s="160" t="str">
        <f t="shared" si="37"/>
        <v/>
      </c>
      <c r="C105" s="470">
        <f>IF(D93="","-",+C104+1)</f>
        <v>2016</v>
      </c>
      <c r="D105" s="471">
        <v>86334.5</v>
      </c>
      <c r="E105" s="478">
        <v>2099</v>
      </c>
      <c r="F105" s="477">
        <v>84235.5</v>
      </c>
      <c r="G105" s="477">
        <v>85285</v>
      </c>
      <c r="H105" s="478">
        <v>13093.579642748955</v>
      </c>
      <c r="I105" s="479">
        <v>13093.579642748955</v>
      </c>
      <c r="J105" s="476">
        <f t="shared" si="31"/>
        <v>0</v>
      </c>
      <c r="K105" s="476"/>
      <c r="L105" s="538">
        <f t="shared" ref="L105:L110" si="41">H105</f>
        <v>13093.579642748955</v>
      </c>
      <c r="M105" s="539">
        <f t="shared" si="38"/>
        <v>0</v>
      </c>
      <c r="N105" s="538">
        <f t="shared" ref="N105:N110" si="42">I105</f>
        <v>13093.579642748955</v>
      </c>
      <c r="O105" s="476">
        <f t="shared" si="39"/>
        <v>0</v>
      </c>
      <c r="P105" s="476">
        <f t="shared" si="40"/>
        <v>0</v>
      </c>
    </row>
    <row r="106" spans="1:16" ht="12.5">
      <c r="B106" s="160" t="str">
        <f t="shared" si="37"/>
        <v/>
      </c>
      <c r="C106" s="470">
        <f>IF(D93="","-",+C105+1)</f>
        <v>2017</v>
      </c>
      <c r="D106" s="471">
        <v>84235.5</v>
      </c>
      <c r="E106" s="478">
        <v>2099</v>
      </c>
      <c r="F106" s="477">
        <v>82136.5</v>
      </c>
      <c r="G106" s="477">
        <v>83186</v>
      </c>
      <c r="H106" s="478">
        <v>12651.353853573521</v>
      </c>
      <c r="I106" s="479">
        <v>12651.353853573521</v>
      </c>
      <c r="J106" s="476">
        <f t="shared" si="31"/>
        <v>0</v>
      </c>
      <c r="K106" s="476"/>
      <c r="L106" s="538">
        <f t="shared" si="41"/>
        <v>12651.353853573521</v>
      </c>
      <c r="M106" s="539">
        <f t="shared" si="38"/>
        <v>0</v>
      </c>
      <c r="N106" s="538">
        <f t="shared" si="42"/>
        <v>12651.353853573521</v>
      </c>
      <c r="O106" s="476">
        <f t="shared" si="39"/>
        <v>0</v>
      </c>
      <c r="P106" s="476">
        <f t="shared" si="40"/>
        <v>0</v>
      </c>
    </row>
    <row r="107" spans="1:16" ht="12.5">
      <c r="B107" s="160" t="str">
        <f t="shared" si="37"/>
        <v/>
      </c>
      <c r="C107" s="470">
        <f>IF(D93="","-",+C106+1)</f>
        <v>2018</v>
      </c>
      <c r="D107" s="471">
        <v>82136.5</v>
      </c>
      <c r="E107" s="478">
        <v>2246</v>
      </c>
      <c r="F107" s="477">
        <v>79890.5</v>
      </c>
      <c r="G107" s="477">
        <v>81013.5</v>
      </c>
      <c r="H107" s="478">
        <v>10568.967843132519</v>
      </c>
      <c r="I107" s="479">
        <v>10568.967843132519</v>
      </c>
      <c r="J107" s="476">
        <f t="shared" si="31"/>
        <v>0</v>
      </c>
      <c r="K107" s="476"/>
      <c r="L107" s="538">
        <f t="shared" si="41"/>
        <v>10568.967843132519</v>
      </c>
      <c r="M107" s="539">
        <f t="shared" ref="M107" si="43">IF(L107&lt;&gt;0,+H107-L107,0)</f>
        <v>0</v>
      </c>
      <c r="N107" s="538">
        <f t="shared" si="42"/>
        <v>10568.967843132519</v>
      </c>
      <c r="O107" s="476">
        <f t="shared" ref="O107" si="44">IF(N107&lt;&gt;0,+I107-N107,0)</f>
        <v>0</v>
      </c>
      <c r="P107" s="476">
        <f t="shared" ref="P107" si="45">+O107-M107</f>
        <v>0</v>
      </c>
    </row>
    <row r="108" spans="1:16" ht="12.5">
      <c r="B108" s="160" t="str">
        <f t="shared" si="37"/>
        <v/>
      </c>
      <c r="C108" s="470">
        <f>IF(D93="","-",+C107+1)</f>
        <v>2019</v>
      </c>
      <c r="D108" s="471">
        <v>79890.5</v>
      </c>
      <c r="E108" s="478">
        <v>2355</v>
      </c>
      <c r="F108" s="477">
        <v>77535.5</v>
      </c>
      <c r="G108" s="477">
        <v>78713</v>
      </c>
      <c r="H108" s="478">
        <v>10471.414334884656</v>
      </c>
      <c r="I108" s="479">
        <v>10471.414334884656</v>
      </c>
      <c r="J108" s="476">
        <f t="shared" si="31"/>
        <v>0</v>
      </c>
      <c r="K108" s="476"/>
      <c r="L108" s="538">
        <f t="shared" si="41"/>
        <v>10471.414334884656</v>
      </c>
      <c r="M108" s="539">
        <f t="shared" ref="M108" si="46">IF(L108&lt;&gt;0,+H108-L108,0)</f>
        <v>0</v>
      </c>
      <c r="N108" s="538">
        <f t="shared" si="42"/>
        <v>10471.414334884656</v>
      </c>
      <c r="O108" s="476">
        <f t="shared" si="35"/>
        <v>0</v>
      </c>
      <c r="P108" s="476">
        <f t="shared" si="36"/>
        <v>0</v>
      </c>
    </row>
    <row r="109" spans="1:16" ht="12.5">
      <c r="B109" s="160" t="str">
        <f t="shared" si="37"/>
        <v/>
      </c>
      <c r="C109" s="470">
        <f>IF(D93="","-",+C108+1)</f>
        <v>2020</v>
      </c>
      <c r="D109" s="471">
        <v>77535.5</v>
      </c>
      <c r="E109" s="478">
        <v>2246</v>
      </c>
      <c r="F109" s="477">
        <v>75289.5</v>
      </c>
      <c r="G109" s="477">
        <v>76412.5</v>
      </c>
      <c r="H109" s="478">
        <v>11056.151171153304</v>
      </c>
      <c r="I109" s="479">
        <v>11056.151171153304</v>
      </c>
      <c r="J109" s="476">
        <f t="shared" si="31"/>
        <v>0</v>
      </c>
      <c r="K109" s="476"/>
      <c r="L109" s="538">
        <f t="shared" si="41"/>
        <v>11056.151171153304</v>
      </c>
      <c r="M109" s="539">
        <f t="shared" ref="M109" si="47">IF(L109&lt;&gt;0,+H109-L109,0)</f>
        <v>0</v>
      </c>
      <c r="N109" s="538">
        <f t="shared" si="42"/>
        <v>11056.151171153304</v>
      </c>
      <c r="O109" s="476">
        <f t="shared" si="35"/>
        <v>0</v>
      </c>
      <c r="P109" s="476">
        <f t="shared" si="36"/>
        <v>0</v>
      </c>
    </row>
    <row r="110" spans="1:16" ht="12.5">
      <c r="B110" s="160" t="str">
        <f t="shared" si="37"/>
        <v/>
      </c>
      <c r="C110" s="470">
        <f>IF(D93="","-",+C109+1)</f>
        <v>2021</v>
      </c>
      <c r="D110" s="471">
        <v>75289.5</v>
      </c>
      <c r="E110" s="478">
        <v>2355</v>
      </c>
      <c r="F110" s="477">
        <v>72934.5</v>
      </c>
      <c r="G110" s="477">
        <v>74112</v>
      </c>
      <c r="H110" s="478">
        <v>10788.411477147845</v>
      </c>
      <c r="I110" s="479">
        <v>10788.411477147845</v>
      </c>
      <c r="J110" s="476">
        <f t="shared" si="31"/>
        <v>0</v>
      </c>
      <c r="K110" s="476"/>
      <c r="L110" s="538">
        <f t="shared" si="41"/>
        <v>10788.411477147845</v>
      </c>
      <c r="M110" s="539">
        <f t="shared" ref="M110" si="48">IF(L110&lt;&gt;0,+H110-L110,0)</f>
        <v>0</v>
      </c>
      <c r="N110" s="538">
        <f t="shared" si="42"/>
        <v>10788.411477147845</v>
      </c>
      <c r="O110" s="476">
        <f t="shared" si="35"/>
        <v>0</v>
      </c>
      <c r="P110" s="476">
        <f t="shared" si="36"/>
        <v>0</v>
      </c>
    </row>
    <row r="111" spans="1:16" ht="12.5">
      <c r="B111" s="160" t="str">
        <f t="shared" si="37"/>
        <v/>
      </c>
      <c r="C111" s="470">
        <f>IF(D93="","-",+C110+1)</f>
        <v>2022</v>
      </c>
      <c r="D111" s="471">
        <v>72934.5</v>
      </c>
      <c r="E111" s="478">
        <v>2476</v>
      </c>
      <c r="F111" s="477">
        <v>70458.5</v>
      </c>
      <c r="G111" s="477">
        <v>71696.5</v>
      </c>
      <c r="H111" s="478">
        <v>10375.710571899024</v>
      </c>
      <c r="I111" s="479">
        <v>10375.710571899024</v>
      </c>
      <c r="J111" s="476">
        <f t="shared" si="31"/>
        <v>0</v>
      </c>
      <c r="K111" s="476"/>
      <c r="L111" s="538">
        <f t="shared" ref="L111" si="49">H111</f>
        <v>10375.710571899024</v>
      </c>
      <c r="M111" s="539">
        <f t="shared" ref="M111" si="50">IF(L111&lt;&gt;0,+H111-L111,0)</f>
        <v>0</v>
      </c>
      <c r="N111" s="538">
        <f t="shared" ref="N111" si="51">I111</f>
        <v>10375.710571899024</v>
      </c>
      <c r="O111" s="476">
        <f t="shared" ref="O111" si="52">IF(N111&lt;&gt;0,+I111-N111,0)</f>
        <v>0</v>
      </c>
      <c r="P111" s="476">
        <f t="shared" ref="P111" si="53">+O111-M111</f>
        <v>0</v>
      </c>
    </row>
    <row r="112" spans="1:16" ht="12.5">
      <c r="B112" s="160" t="str">
        <f t="shared" si="37"/>
        <v/>
      </c>
      <c r="C112" s="470">
        <f>IF(D93="","-",+C111+1)</f>
        <v>2023</v>
      </c>
      <c r="D112" s="345">
        <f>IF(F111+SUM(E$99:E111)=D$92,F111,D$92-SUM(E$99:E111))</f>
        <v>70458.5</v>
      </c>
      <c r="E112" s="484">
        <f>IF(+J96&lt;F111,J96,D112)</f>
        <v>2541</v>
      </c>
      <c r="F112" s="483">
        <f t="shared" ref="F112:F129" si="54">+D112-E112</f>
        <v>67917.5</v>
      </c>
      <c r="G112" s="483">
        <f t="shared" ref="G112:G129" si="55">+(F112+D112)/2</f>
        <v>69188</v>
      </c>
      <c r="H112" s="484">
        <f t="shared" ref="H112:H153" si="56">(D112+F112)/2*J$94+E112</f>
        <v>10444.141346801007</v>
      </c>
      <c r="I112" s="540">
        <f t="shared" ref="I112:I153" si="57">+J$95*G112+E112</f>
        <v>10444.141346801007</v>
      </c>
      <c r="J112" s="476">
        <f t="shared" si="31"/>
        <v>0</v>
      </c>
      <c r="K112" s="476"/>
      <c r="L112" s="485"/>
      <c r="M112" s="476">
        <f t="shared" si="33"/>
        <v>0</v>
      </c>
      <c r="N112" s="485"/>
      <c r="O112" s="476">
        <f t="shared" si="35"/>
        <v>0</v>
      </c>
      <c r="P112" s="476">
        <f t="shared" si="36"/>
        <v>0</v>
      </c>
    </row>
    <row r="113" spans="2:16" ht="12.5">
      <c r="B113" s="160" t="str">
        <f t="shared" si="37"/>
        <v/>
      </c>
      <c r="C113" s="470">
        <f>IF(D93="","-",+C112+1)</f>
        <v>2024</v>
      </c>
      <c r="D113" s="345">
        <f>IF(F112+SUM(E$99:E112)=D$92,F112,D$92-SUM(E$99:E112))</f>
        <v>67917.5</v>
      </c>
      <c r="E113" s="484">
        <f>IF(+J96&lt;F112,J96,D113)</f>
        <v>2541</v>
      </c>
      <c r="F113" s="483">
        <f t="shared" si="54"/>
        <v>65376.5</v>
      </c>
      <c r="G113" s="483">
        <f t="shared" si="55"/>
        <v>66647</v>
      </c>
      <c r="H113" s="484">
        <f t="shared" si="56"/>
        <v>10153.890404987087</v>
      </c>
      <c r="I113" s="540">
        <f t="shared" si="57"/>
        <v>10153.890404987087</v>
      </c>
      <c r="J113" s="476">
        <f t="shared" si="31"/>
        <v>0</v>
      </c>
      <c r="K113" s="476"/>
      <c r="L113" s="485"/>
      <c r="M113" s="476">
        <f t="shared" si="33"/>
        <v>0</v>
      </c>
      <c r="N113" s="485"/>
      <c r="O113" s="476">
        <f t="shared" si="35"/>
        <v>0</v>
      </c>
      <c r="P113" s="476">
        <f t="shared" si="36"/>
        <v>0</v>
      </c>
    </row>
    <row r="114" spans="2:16" ht="12.5">
      <c r="B114" s="160" t="str">
        <f t="shared" si="37"/>
        <v/>
      </c>
      <c r="C114" s="470">
        <f>IF(D93="","-",+C113+1)</f>
        <v>2025</v>
      </c>
      <c r="D114" s="345">
        <f>IF(F113+SUM(E$99:E113)=D$92,F113,D$92-SUM(E$99:E113))</f>
        <v>65376.5</v>
      </c>
      <c r="E114" s="484">
        <f>IF(+J96&lt;F113,J96,D114)</f>
        <v>2541</v>
      </c>
      <c r="F114" s="483">
        <f t="shared" si="54"/>
        <v>62835.5</v>
      </c>
      <c r="G114" s="483">
        <f t="shared" si="55"/>
        <v>64106</v>
      </c>
      <c r="H114" s="484">
        <f t="shared" si="56"/>
        <v>9863.639463173171</v>
      </c>
      <c r="I114" s="540">
        <f t="shared" si="57"/>
        <v>9863.639463173171</v>
      </c>
      <c r="J114" s="476">
        <f t="shared" si="31"/>
        <v>0</v>
      </c>
      <c r="K114" s="476"/>
      <c r="L114" s="485"/>
      <c r="M114" s="476">
        <f t="shared" si="33"/>
        <v>0</v>
      </c>
      <c r="N114" s="485"/>
      <c r="O114" s="476">
        <f t="shared" si="35"/>
        <v>0</v>
      </c>
      <c r="P114" s="476">
        <f t="shared" si="36"/>
        <v>0</v>
      </c>
    </row>
    <row r="115" spans="2:16" ht="12.5">
      <c r="B115" s="160" t="str">
        <f t="shared" si="37"/>
        <v/>
      </c>
      <c r="C115" s="470">
        <f>IF(D93="","-",+C114+1)</f>
        <v>2026</v>
      </c>
      <c r="D115" s="345">
        <f>IF(F114+SUM(E$99:E114)=D$92,F114,D$92-SUM(E$99:E114))</f>
        <v>62835.5</v>
      </c>
      <c r="E115" s="484">
        <f>IF(+J96&lt;F114,J96,D115)</f>
        <v>2541</v>
      </c>
      <c r="F115" s="483">
        <f t="shared" si="54"/>
        <v>60294.5</v>
      </c>
      <c r="G115" s="483">
        <f t="shared" si="55"/>
        <v>61565</v>
      </c>
      <c r="H115" s="484">
        <f t="shared" si="56"/>
        <v>9573.3885213592512</v>
      </c>
      <c r="I115" s="540">
        <f t="shared" si="57"/>
        <v>9573.3885213592512</v>
      </c>
      <c r="J115" s="476">
        <f t="shared" si="31"/>
        <v>0</v>
      </c>
      <c r="K115" s="476"/>
      <c r="L115" s="485"/>
      <c r="M115" s="476">
        <f t="shared" si="33"/>
        <v>0</v>
      </c>
      <c r="N115" s="485"/>
      <c r="O115" s="476">
        <f t="shared" si="35"/>
        <v>0</v>
      </c>
      <c r="P115" s="476">
        <f t="shared" si="36"/>
        <v>0</v>
      </c>
    </row>
    <row r="116" spans="2:16" ht="12.5">
      <c r="B116" s="160" t="str">
        <f t="shared" si="37"/>
        <v/>
      </c>
      <c r="C116" s="470">
        <f>IF(D93="","-",+C115+1)</f>
        <v>2027</v>
      </c>
      <c r="D116" s="345">
        <f>IF(F115+SUM(E$99:E115)=D$92,F115,D$92-SUM(E$99:E115))</f>
        <v>60294.5</v>
      </c>
      <c r="E116" s="484">
        <f>IF(+J96&lt;F115,J96,D116)</f>
        <v>2541</v>
      </c>
      <c r="F116" s="483">
        <f t="shared" si="54"/>
        <v>57753.5</v>
      </c>
      <c r="G116" s="483">
        <f t="shared" si="55"/>
        <v>59024</v>
      </c>
      <c r="H116" s="484">
        <f t="shared" si="56"/>
        <v>9283.137579545335</v>
      </c>
      <c r="I116" s="540">
        <f t="shared" si="57"/>
        <v>9283.137579545335</v>
      </c>
      <c r="J116" s="476">
        <f t="shared" si="31"/>
        <v>0</v>
      </c>
      <c r="K116" s="476"/>
      <c r="L116" s="485"/>
      <c r="M116" s="476">
        <f t="shared" si="33"/>
        <v>0</v>
      </c>
      <c r="N116" s="485"/>
      <c r="O116" s="476">
        <f t="shared" si="35"/>
        <v>0</v>
      </c>
      <c r="P116" s="476">
        <f t="shared" si="36"/>
        <v>0</v>
      </c>
    </row>
    <row r="117" spans="2:16" ht="12.5">
      <c r="B117" s="160" t="str">
        <f t="shared" si="37"/>
        <v/>
      </c>
      <c r="C117" s="470">
        <f>IF(D93="","-",+C116+1)</f>
        <v>2028</v>
      </c>
      <c r="D117" s="345">
        <f>IF(F116+SUM(E$99:E116)=D$92,F116,D$92-SUM(E$99:E116))</f>
        <v>57753.5</v>
      </c>
      <c r="E117" s="484">
        <f>IF(+J96&lt;F116,J96,D117)</f>
        <v>2541</v>
      </c>
      <c r="F117" s="483">
        <f t="shared" si="54"/>
        <v>55212.5</v>
      </c>
      <c r="G117" s="483">
        <f t="shared" si="55"/>
        <v>56483</v>
      </c>
      <c r="H117" s="484">
        <f t="shared" si="56"/>
        <v>8992.8866377314152</v>
      </c>
      <c r="I117" s="540">
        <f t="shared" si="57"/>
        <v>8992.8866377314152</v>
      </c>
      <c r="J117" s="476">
        <f t="shared" si="31"/>
        <v>0</v>
      </c>
      <c r="K117" s="476"/>
      <c r="L117" s="485"/>
      <c r="M117" s="476">
        <f t="shared" si="33"/>
        <v>0</v>
      </c>
      <c r="N117" s="485"/>
      <c r="O117" s="476">
        <f t="shared" si="35"/>
        <v>0</v>
      </c>
      <c r="P117" s="476">
        <f t="shared" si="36"/>
        <v>0</v>
      </c>
    </row>
    <row r="118" spans="2:16" ht="12.5">
      <c r="B118" s="160" t="str">
        <f t="shared" si="37"/>
        <v/>
      </c>
      <c r="C118" s="470">
        <f>IF(D93="","-",+C117+1)</f>
        <v>2029</v>
      </c>
      <c r="D118" s="345">
        <f>IF(F117+SUM(E$99:E117)=D$92,F117,D$92-SUM(E$99:E117))</f>
        <v>55212.5</v>
      </c>
      <c r="E118" s="484">
        <f>IF(+J96&lt;F117,J96,D118)</f>
        <v>2541</v>
      </c>
      <c r="F118" s="483">
        <f t="shared" si="54"/>
        <v>52671.5</v>
      </c>
      <c r="G118" s="483">
        <f t="shared" si="55"/>
        <v>53942</v>
      </c>
      <c r="H118" s="484">
        <f t="shared" si="56"/>
        <v>8702.6356959174991</v>
      </c>
      <c r="I118" s="540">
        <f t="shared" si="57"/>
        <v>8702.6356959174991</v>
      </c>
      <c r="J118" s="476">
        <f t="shared" si="31"/>
        <v>0</v>
      </c>
      <c r="K118" s="476"/>
      <c r="L118" s="485"/>
      <c r="M118" s="476">
        <f t="shared" si="33"/>
        <v>0</v>
      </c>
      <c r="N118" s="485"/>
      <c r="O118" s="476">
        <f t="shared" si="35"/>
        <v>0</v>
      </c>
      <c r="P118" s="476">
        <f t="shared" si="36"/>
        <v>0</v>
      </c>
    </row>
    <row r="119" spans="2:16" ht="12.5">
      <c r="B119" s="160" t="str">
        <f t="shared" si="37"/>
        <v/>
      </c>
      <c r="C119" s="470">
        <f>IF(D93="","-",+C118+1)</f>
        <v>2030</v>
      </c>
      <c r="D119" s="345">
        <f>IF(F118+SUM(E$99:E118)=D$92,F118,D$92-SUM(E$99:E118))</f>
        <v>52671.5</v>
      </c>
      <c r="E119" s="484">
        <f>IF(+J96&lt;F118,J96,D119)</f>
        <v>2541</v>
      </c>
      <c r="F119" s="483">
        <f t="shared" si="54"/>
        <v>50130.5</v>
      </c>
      <c r="G119" s="483">
        <f t="shared" si="55"/>
        <v>51401</v>
      </c>
      <c r="H119" s="484">
        <f t="shared" si="56"/>
        <v>8412.3847541035793</v>
      </c>
      <c r="I119" s="540">
        <f t="shared" si="57"/>
        <v>8412.3847541035793</v>
      </c>
      <c r="J119" s="476">
        <f t="shared" si="31"/>
        <v>0</v>
      </c>
      <c r="K119" s="476"/>
      <c r="L119" s="485"/>
      <c r="M119" s="476">
        <f t="shared" si="33"/>
        <v>0</v>
      </c>
      <c r="N119" s="485"/>
      <c r="O119" s="476">
        <f t="shared" si="35"/>
        <v>0</v>
      </c>
      <c r="P119" s="476">
        <f t="shared" si="36"/>
        <v>0</v>
      </c>
    </row>
    <row r="120" spans="2:16" ht="12.5">
      <c r="B120" s="160" t="str">
        <f t="shared" si="37"/>
        <v/>
      </c>
      <c r="C120" s="470">
        <f>IF(D93="","-",+C119+1)</f>
        <v>2031</v>
      </c>
      <c r="D120" s="345">
        <f>IF(F119+SUM(E$99:E119)=D$92,F119,D$92-SUM(E$99:E119))</f>
        <v>50130.5</v>
      </c>
      <c r="E120" s="484">
        <f>IF(+J96&lt;F119,J96,D120)</f>
        <v>2541</v>
      </c>
      <c r="F120" s="483">
        <f t="shared" si="54"/>
        <v>47589.5</v>
      </c>
      <c r="G120" s="483">
        <f t="shared" si="55"/>
        <v>48860</v>
      </c>
      <c r="H120" s="484">
        <f t="shared" si="56"/>
        <v>8122.1338122896623</v>
      </c>
      <c r="I120" s="540">
        <f t="shared" si="57"/>
        <v>8122.1338122896623</v>
      </c>
      <c r="J120" s="476">
        <f t="shared" si="31"/>
        <v>0</v>
      </c>
      <c r="K120" s="476"/>
      <c r="L120" s="485"/>
      <c r="M120" s="476">
        <f t="shared" si="33"/>
        <v>0</v>
      </c>
      <c r="N120" s="485"/>
      <c r="O120" s="476">
        <f t="shared" si="35"/>
        <v>0</v>
      </c>
      <c r="P120" s="476">
        <f t="shared" si="36"/>
        <v>0</v>
      </c>
    </row>
    <row r="121" spans="2:16" ht="12.5">
      <c r="B121" s="160" t="str">
        <f t="shared" si="37"/>
        <v/>
      </c>
      <c r="C121" s="470">
        <f>IF(D93="","-",+C120+1)</f>
        <v>2032</v>
      </c>
      <c r="D121" s="345">
        <f>IF(F120+SUM(E$99:E120)=D$92,F120,D$92-SUM(E$99:E120))</f>
        <v>47589.5</v>
      </c>
      <c r="E121" s="484">
        <f>IF(+J96&lt;F120,J96,D121)</f>
        <v>2541</v>
      </c>
      <c r="F121" s="483">
        <f t="shared" si="54"/>
        <v>45048.5</v>
      </c>
      <c r="G121" s="483">
        <f t="shared" si="55"/>
        <v>46319</v>
      </c>
      <c r="H121" s="484">
        <f t="shared" si="56"/>
        <v>7831.8828704757443</v>
      </c>
      <c r="I121" s="540">
        <f t="shared" si="57"/>
        <v>7831.8828704757443</v>
      </c>
      <c r="J121" s="476">
        <f t="shared" si="31"/>
        <v>0</v>
      </c>
      <c r="K121" s="476"/>
      <c r="L121" s="485"/>
      <c r="M121" s="476">
        <f t="shared" si="33"/>
        <v>0</v>
      </c>
      <c r="N121" s="485"/>
      <c r="O121" s="476">
        <f t="shared" si="35"/>
        <v>0</v>
      </c>
      <c r="P121" s="476">
        <f t="shared" si="36"/>
        <v>0</v>
      </c>
    </row>
    <row r="122" spans="2:16" ht="12.5">
      <c r="B122" s="160" t="str">
        <f t="shared" si="37"/>
        <v/>
      </c>
      <c r="C122" s="470">
        <f>IF(D93="","-",+C121+1)</f>
        <v>2033</v>
      </c>
      <c r="D122" s="345">
        <f>IF(F121+SUM(E$99:E121)=D$92,F121,D$92-SUM(E$99:E121))</f>
        <v>45048.5</v>
      </c>
      <c r="E122" s="484">
        <f>IF(+J96&lt;F121,J96,D122)</f>
        <v>2541</v>
      </c>
      <c r="F122" s="483">
        <f t="shared" si="54"/>
        <v>42507.5</v>
      </c>
      <c r="G122" s="483">
        <f t="shared" si="55"/>
        <v>43778</v>
      </c>
      <c r="H122" s="484">
        <f t="shared" si="56"/>
        <v>7541.6319286618264</v>
      </c>
      <c r="I122" s="540">
        <f t="shared" si="57"/>
        <v>7541.6319286618264</v>
      </c>
      <c r="J122" s="476">
        <f t="shared" si="31"/>
        <v>0</v>
      </c>
      <c r="K122" s="476"/>
      <c r="L122" s="485"/>
      <c r="M122" s="476">
        <f t="shared" si="33"/>
        <v>0</v>
      </c>
      <c r="N122" s="485"/>
      <c r="O122" s="476">
        <f t="shared" si="35"/>
        <v>0</v>
      </c>
      <c r="P122" s="476">
        <f t="shared" si="36"/>
        <v>0</v>
      </c>
    </row>
    <row r="123" spans="2:16" ht="12.5">
      <c r="B123" s="160" t="str">
        <f t="shared" si="37"/>
        <v/>
      </c>
      <c r="C123" s="470">
        <f>IF(D93="","-",+C122+1)</f>
        <v>2034</v>
      </c>
      <c r="D123" s="345">
        <f>IF(F122+SUM(E$99:E122)=D$92,F122,D$92-SUM(E$99:E122))</f>
        <v>42507.5</v>
      </c>
      <c r="E123" s="484">
        <f>IF(+J96&lt;F122,J96,D123)</f>
        <v>2541</v>
      </c>
      <c r="F123" s="483">
        <f t="shared" si="54"/>
        <v>39966.5</v>
      </c>
      <c r="G123" s="483">
        <f t="shared" si="55"/>
        <v>41237</v>
      </c>
      <c r="H123" s="484">
        <f t="shared" si="56"/>
        <v>7251.3809868479084</v>
      </c>
      <c r="I123" s="540">
        <f t="shared" si="57"/>
        <v>7251.3809868479084</v>
      </c>
      <c r="J123" s="476">
        <f t="shared" si="31"/>
        <v>0</v>
      </c>
      <c r="K123" s="476"/>
      <c r="L123" s="485"/>
      <c r="M123" s="476">
        <f t="shared" si="33"/>
        <v>0</v>
      </c>
      <c r="N123" s="485"/>
      <c r="O123" s="476">
        <f t="shared" si="35"/>
        <v>0</v>
      </c>
      <c r="P123" s="476">
        <f t="shared" si="36"/>
        <v>0</v>
      </c>
    </row>
    <row r="124" spans="2:16" ht="12.5">
      <c r="B124" s="160" t="str">
        <f t="shared" si="37"/>
        <v/>
      </c>
      <c r="C124" s="470">
        <f>IF(D93="","-",+C123+1)</f>
        <v>2035</v>
      </c>
      <c r="D124" s="345">
        <f>IF(F123+SUM(E$99:E123)=D$92,F123,D$92-SUM(E$99:E123))</f>
        <v>39966.5</v>
      </c>
      <c r="E124" s="484">
        <f>IF(+J96&lt;F123,J96,D124)</f>
        <v>2541</v>
      </c>
      <c r="F124" s="483">
        <f t="shared" si="54"/>
        <v>37425.5</v>
      </c>
      <c r="G124" s="483">
        <f t="shared" si="55"/>
        <v>38696</v>
      </c>
      <c r="H124" s="484">
        <f t="shared" si="56"/>
        <v>6961.1300450339904</v>
      </c>
      <c r="I124" s="540">
        <f t="shared" si="57"/>
        <v>6961.1300450339904</v>
      </c>
      <c r="J124" s="476">
        <f t="shared" si="31"/>
        <v>0</v>
      </c>
      <c r="K124" s="476"/>
      <c r="L124" s="485"/>
      <c r="M124" s="476">
        <f t="shared" si="33"/>
        <v>0</v>
      </c>
      <c r="N124" s="485"/>
      <c r="O124" s="476">
        <f t="shared" si="35"/>
        <v>0</v>
      </c>
      <c r="P124" s="476">
        <f t="shared" si="36"/>
        <v>0</v>
      </c>
    </row>
    <row r="125" spans="2:16" ht="12.5">
      <c r="B125" s="160" t="str">
        <f t="shared" si="37"/>
        <v/>
      </c>
      <c r="C125" s="470">
        <f>IF(D93="","-",+C124+1)</f>
        <v>2036</v>
      </c>
      <c r="D125" s="345">
        <f>IF(F124+SUM(E$99:E124)=D$92,F124,D$92-SUM(E$99:E124))</f>
        <v>37425.5</v>
      </c>
      <c r="E125" s="484">
        <f>IF(+J96&lt;F124,J96,D125)</f>
        <v>2541</v>
      </c>
      <c r="F125" s="483">
        <f t="shared" si="54"/>
        <v>34884.5</v>
      </c>
      <c r="G125" s="483">
        <f t="shared" si="55"/>
        <v>36155</v>
      </c>
      <c r="H125" s="484">
        <f t="shared" si="56"/>
        <v>6670.8791032200725</v>
      </c>
      <c r="I125" s="540">
        <f t="shared" si="57"/>
        <v>6670.8791032200725</v>
      </c>
      <c r="J125" s="476">
        <f t="shared" si="31"/>
        <v>0</v>
      </c>
      <c r="K125" s="476"/>
      <c r="L125" s="485"/>
      <c r="M125" s="476">
        <f t="shared" si="33"/>
        <v>0</v>
      </c>
      <c r="N125" s="485"/>
      <c r="O125" s="476">
        <f t="shared" si="35"/>
        <v>0</v>
      </c>
      <c r="P125" s="476">
        <f t="shared" si="36"/>
        <v>0</v>
      </c>
    </row>
    <row r="126" spans="2:16" ht="12.5">
      <c r="B126" s="160" t="str">
        <f t="shared" si="37"/>
        <v/>
      </c>
      <c r="C126" s="470">
        <f>IF(D93="","-",+C125+1)</f>
        <v>2037</v>
      </c>
      <c r="D126" s="345">
        <f>IF(F125+SUM(E$99:E125)=D$92,F125,D$92-SUM(E$99:E125))</f>
        <v>34884.5</v>
      </c>
      <c r="E126" s="484">
        <f>IF(+J96&lt;F125,J96,D126)</f>
        <v>2541</v>
      </c>
      <c r="F126" s="483">
        <f t="shared" si="54"/>
        <v>32343.5</v>
      </c>
      <c r="G126" s="483">
        <f t="shared" si="55"/>
        <v>33614</v>
      </c>
      <c r="H126" s="484">
        <f t="shared" si="56"/>
        <v>6380.6281614061545</v>
      </c>
      <c r="I126" s="540">
        <f t="shared" si="57"/>
        <v>6380.6281614061545</v>
      </c>
      <c r="J126" s="476">
        <f t="shared" si="31"/>
        <v>0</v>
      </c>
      <c r="K126" s="476"/>
      <c r="L126" s="485"/>
      <c r="M126" s="476">
        <f t="shared" si="33"/>
        <v>0</v>
      </c>
      <c r="N126" s="485"/>
      <c r="O126" s="476">
        <f t="shared" si="35"/>
        <v>0</v>
      </c>
      <c r="P126" s="476">
        <f t="shared" si="36"/>
        <v>0</v>
      </c>
    </row>
    <row r="127" spans="2:16" ht="12.5">
      <c r="B127" s="160" t="str">
        <f t="shared" si="37"/>
        <v/>
      </c>
      <c r="C127" s="470">
        <f>IF(D93="","-",+C126+1)</f>
        <v>2038</v>
      </c>
      <c r="D127" s="345">
        <f>IF(F126+SUM(E$99:E126)=D$92,F126,D$92-SUM(E$99:E126))</f>
        <v>32343.5</v>
      </c>
      <c r="E127" s="484">
        <f>IF(+J96&lt;F126,J96,D127)</f>
        <v>2541</v>
      </c>
      <c r="F127" s="483">
        <f t="shared" si="54"/>
        <v>29802.5</v>
      </c>
      <c r="G127" s="483">
        <f t="shared" si="55"/>
        <v>31073</v>
      </c>
      <c r="H127" s="484">
        <f t="shared" si="56"/>
        <v>6090.3772195922365</v>
      </c>
      <c r="I127" s="540">
        <f t="shared" si="57"/>
        <v>6090.3772195922365</v>
      </c>
      <c r="J127" s="476">
        <f t="shared" si="31"/>
        <v>0</v>
      </c>
      <c r="K127" s="476"/>
      <c r="L127" s="485"/>
      <c r="M127" s="476">
        <f t="shared" si="33"/>
        <v>0</v>
      </c>
      <c r="N127" s="485"/>
      <c r="O127" s="476">
        <f t="shared" si="35"/>
        <v>0</v>
      </c>
      <c r="P127" s="476">
        <f t="shared" si="36"/>
        <v>0</v>
      </c>
    </row>
    <row r="128" spans="2:16" ht="12.5">
      <c r="B128" s="160" t="str">
        <f t="shared" si="37"/>
        <v/>
      </c>
      <c r="C128" s="470">
        <f>IF(D93="","-",+C127+1)</f>
        <v>2039</v>
      </c>
      <c r="D128" s="345">
        <f>IF(F127+SUM(E$99:E127)=D$92,F127,D$92-SUM(E$99:E127))</f>
        <v>29802.5</v>
      </c>
      <c r="E128" s="484">
        <f>IF(+J96&lt;F127,J96,D128)</f>
        <v>2541</v>
      </c>
      <c r="F128" s="483">
        <f t="shared" si="54"/>
        <v>27261.5</v>
      </c>
      <c r="G128" s="483">
        <f t="shared" si="55"/>
        <v>28532</v>
      </c>
      <c r="H128" s="484">
        <f t="shared" si="56"/>
        <v>5800.1262777783186</v>
      </c>
      <c r="I128" s="540">
        <f t="shared" si="57"/>
        <v>5800.1262777783186</v>
      </c>
      <c r="J128" s="476">
        <f t="shared" si="31"/>
        <v>0</v>
      </c>
      <c r="K128" s="476"/>
      <c r="L128" s="485"/>
      <c r="M128" s="476">
        <f t="shared" si="33"/>
        <v>0</v>
      </c>
      <c r="N128" s="485"/>
      <c r="O128" s="476">
        <f t="shared" si="35"/>
        <v>0</v>
      </c>
      <c r="P128" s="476">
        <f t="shared" si="36"/>
        <v>0</v>
      </c>
    </row>
    <row r="129" spans="2:16" ht="12.5">
      <c r="B129" s="160" t="str">
        <f t="shared" si="37"/>
        <v/>
      </c>
      <c r="C129" s="470">
        <f>IF(D93="","-",+C128+1)</f>
        <v>2040</v>
      </c>
      <c r="D129" s="345">
        <f>IF(F128+SUM(E$99:E128)=D$92,F128,D$92-SUM(E$99:E128))</f>
        <v>27261.5</v>
      </c>
      <c r="E129" s="484">
        <f>IF(+J96&lt;F128,J96,D129)</f>
        <v>2541</v>
      </c>
      <c r="F129" s="483">
        <f t="shared" si="54"/>
        <v>24720.5</v>
      </c>
      <c r="G129" s="483">
        <f t="shared" si="55"/>
        <v>25991</v>
      </c>
      <c r="H129" s="484">
        <f t="shared" si="56"/>
        <v>5509.8753359644006</v>
      </c>
      <c r="I129" s="540">
        <f t="shared" si="57"/>
        <v>5509.8753359644006</v>
      </c>
      <c r="J129" s="476">
        <f t="shared" si="31"/>
        <v>0</v>
      </c>
      <c r="K129" s="476"/>
      <c r="L129" s="485"/>
      <c r="M129" s="476">
        <f t="shared" si="33"/>
        <v>0</v>
      </c>
      <c r="N129" s="485"/>
      <c r="O129" s="476">
        <f t="shared" si="35"/>
        <v>0</v>
      </c>
      <c r="P129" s="476">
        <f t="shared" si="36"/>
        <v>0</v>
      </c>
    </row>
    <row r="130" spans="2:16" ht="12.5">
      <c r="B130" s="160" t="str">
        <f t="shared" si="37"/>
        <v/>
      </c>
      <c r="C130" s="470">
        <f>IF(D93="","-",+C129+1)</f>
        <v>2041</v>
      </c>
      <c r="D130" s="345">
        <f>IF(F129+SUM(E$99:E129)=D$92,F129,D$92-SUM(E$99:E129))</f>
        <v>24720.5</v>
      </c>
      <c r="E130" s="484">
        <f>IF(+J96&lt;F129,J96,D130)</f>
        <v>2541</v>
      </c>
      <c r="F130" s="483">
        <f t="shared" ref="F130:F145" si="58">+D130-E130</f>
        <v>22179.5</v>
      </c>
      <c r="G130" s="483">
        <f t="shared" ref="G130:G145" si="59">+(F130+D130)/2</f>
        <v>23450</v>
      </c>
      <c r="H130" s="484">
        <f t="shared" si="56"/>
        <v>5219.6243941504827</v>
      </c>
      <c r="I130" s="540">
        <f t="shared" si="57"/>
        <v>5219.6243941504827</v>
      </c>
      <c r="J130" s="476">
        <f t="shared" si="31"/>
        <v>0</v>
      </c>
      <c r="K130" s="476"/>
      <c r="L130" s="485"/>
      <c r="M130" s="476">
        <f t="shared" si="33"/>
        <v>0</v>
      </c>
      <c r="N130" s="485"/>
      <c r="O130" s="476">
        <f t="shared" si="35"/>
        <v>0</v>
      </c>
      <c r="P130" s="476">
        <f t="shared" si="36"/>
        <v>0</v>
      </c>
    </row>
    <row r="131" spans="2:16" ht="12.5">
      <c r="B131" s="160" t="str">
        <f t="shared" si="37"/>
        <v/>
      </c>
      <c r="C131" s="470">
        <f>IF(D93="","-",+C130+1)</f>
        <v>2042</v>
      </c>
      <c r="D131" s="345">
        <f>IF(F130+SUM(E$99:E130)=D$92,F130,D$92-SUM(E$99:E130))</f>
        <v>22179.5</v>
      </c>
      <c r="E131" s="484">
        <f>IF(+J96&lt;F130,J96,D131)</f>
        <v>2541</v>
      </c>
      <c r="F131" s="483">
        <f t="shared" si="58"/>
        <v>19638.5</v>
      </c>
      <c r="G131" s="483">
        <f t="shared" si="59"/>
        <v>20909</v>
      </c>
      <c r="H131" s="484">
        <f t="shared" si="56"/>
        <v>4929.3734523365647</v>
      </c>
      <c r="I131" s="540">
        <f t="shared" si="57"/>
        <v>4929.3734523365647</v>
      </c>
      <c r="J131" s="476">
        <f t="shared" ref="J131:J154" si="60">+I541-H541</f>
        <v>0</v>
      </c>
      <c r="K131" s="476"/>
      <c r="L131" s="485"/>
      <c r="M131" s="476">
        <f t="shared" ref="M131:M154" si="61">IF(L541&lt;&gt;0,+H541-L541,0)</f>
        <v>0</v>
      </c>
      <c r="N131" s="485"/>
      <c r="O131" s="476">
        <f t="shared" ref="O131:O154" si="62">IF(N541&lt;&gt;0,+I541-N541,0)</f>
        <v>0</v>
      </c>
      <c r="P131" s="476">
        <f t="shared" ref="P131:P154" si="63">+O541-M541</f>
        <v>0</v>
      </c>
    </row>
    <row r="132" spans="2:16" ht="12.5">
      <c r="B132" s="160" t="str">
        <f t="shared" si="37"/>
        <v/>
      </c>
      <c r="C132" s="470">
        <f>IF(D93="","-",+C131+1)</f>
        <v>2043</v>
      </c>
      <c r="D132" s="345">
        <f>IF(F131+SUM(E$99:E131)=D$92,F131,D$92-SUM(E$99:E131))</f>
        <v>19638.5</v>
      </c>
      <c r="E132" s="484">
        <f>IF(+J96&lt;F131,J96,D132)</f>
        <v>2541</v>
      </c>
      <c r="F132" s="483">
        <f t="shared" si="58"/>
        <v>17097.5</v>
      </c>
      <c r="G132" s="483">
        <f t="shared" si="59"/>
        <v>18368</v>
      </c>
      <c r="H132" s="484">
        <f t="shared" si="56"/>
        <v>4639.1225105226467</v>
      </c>
      <c r="I132" s="540">
        <f t="shared" si="57"/>
        <v>4639.1225105226467</v>
      </c>
      <c r="J132" s="476">
        <f t="shared" si="60"/>
        <v>0</v>
      </c>
      <c r="K132" s="476"/>
      <c r="L132" s="485"/>
      <c r="M132" s="476">
        <f t="shared" si="61"/>
        <v>0</v>
      </c>
      <c r="N132" s="485"/>
      <c r="O132" s="476">
        <f t="shared" si="62"/>
        <v>0</v>
      </c>
      <c r="P132" s="476">
        <f t="shared" si="63"/>
        <v>0</v>
      </c>
    </row>
    <row r="133" spans="2:16" ht="12.5">
      <c r="B133" s="160" t="str">
        <f t="shared" si="37"/>
        <v/>
      </c>
      <c r="C133" s="470">
        <f>IF(D93="","-",+C132+1)</f>
        <v>2044</v>
      </c>
      <c r="D133" s="345">
        <f>IF(F132+SUM(E$99:E132)=D$92,F132,D$92-SUM(E$99:E132))</f>
        <v>17097.5</v>
      </c>
      <c r="E133" s="484">
        <f>IF(+J96&lt;F132,J96,D133)</f>
        <v>2541</v>
      </c>
      <c r="F133" s="483">
        <f t="shared" si="58"/>
        <v>14556.5</v>
      </c>
      <c r="G133" s="483">
        <f t="shared" si="59"/>
        <v>15827</v>
      </c>
      <c r="H133" s="484">
        <f t="shared" si="56"/>
        <v>4348.8715687087288</v>
      </c>
      <c r="I133" s="540">
        <f t="shared" si="57"/>
        <v>4348.8715687087288</v>
      </c>
      <c r="J133" s="476">
        <f t="shared" si="60"/>
        <v>0</v>
      </c>
      <c r="K133" s="476"/>
      <c r="L133" s="485"/>
      <c r="M133" s="476">
        <f t="shared" si="61"/>
        <v>0</v>
      </c>
      <c r="N133" s="485"/>
      <c r="O133" s="476">
        <f t="shared" si="62"/>
        <v>0</v>
      </c>
      <c r="P133" s="476">
        <f t="shared" si="63"/>
        <v>0</v>
      </c>
    </row>
    <row r="134" spans="2:16" ht="12.5">
      <c r="B134" s="160" t="str">
        <f t="shared" si="37"/>
        <v/>
      </c>
      <c r="C134" s="470">
        <f>IF(D93="","-",+C133+1)</f>
        <v>2045</v>
      </c>
      <c r="D134" s="345">
        <f>IF(F133+SUM(E$99:E133)=D$92,F133,D$92-SUM(E$99:E133))</f>
        <v>14556.5</v>
      </c>
      <c r="E134" s="484">
        <f>IF(+J96&lt;F133,J96,D134)</f>
        <v>2541</v>
      </c>
      <c r="F134" s="483">
        <f t="shared" si="58"/>
        <v>12015.5</v>
      </c>
      <c r="G134" s="483">
        <f t="shared" si="59"/>
        <v>13286</v>
      </c>
      <c r="H134" s="484">
        <f t="shared" si="56"/>
        <v>4058.6206268948108</v>
      </c>
      <c r="I134" s="540">
        <f t="shared" si="57"/>
        <v>4058.6206268948108</v>
      </c>
      <c r="J134" s="476">
        <f t="shared" si="60"/>
        <v>0</v>
      </c>
      <c r="K134" s="476"/>
      <c r="L134" s="485"/>
      <c r="M134" s="476">
        <f t="shared" si="61"/>
        <v>0</v>
      </c>
      <c r="N134" s="485"/>
      <c r="O134" s="476">
        <f t="shared" si="62"/>
        <v>0</v>
      </c>
      <c r="P134" s="476">
        <f t="shared" si="63"/>
        <v>0</v>
      </c>
    </row>
    <row r="135" spans="2:16" ht="12.5">
      <c r="B135" s="160" t="str">
        <f t="shared" si="37"/>
        <v/>
      </c>
      <c r="C135" s="470">
        <f>IF(D93="","-",+C134+1)</f>
        <v>2046</v>
      </c>
      <c r="D135" s="345">
        <f>IF(F134+SUM(E$99:E134)=D$92,F134,D$92-SUM(E$99:E134))</f>
        <v>12015.5</v>
      </c>
      <c r="E135" s="484">
        <f>IF(+J96&lt;F134,J96,D135)</f>
        <v>2541</v>
      </c>
      <c r="F135" s="483">
        <f t="shared" si="58"/>
        <v>9474.5</v>
      </c>
      <c r="G135" s="483">
        <f t="shared" si="59"/>
        <v>10745</v>
      </c>
      <c r="H135" s="484">
        <f t="shared" si="56"/>
        <v>3768.3696850808929</v>
      </c>
      <c r="I135" s="540">
        <f t="shared" si="57"/>
        <v>3768.3696850808929</v>
      </c>
      <c r="J135" s="476">
        <f t="shared" si="60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3"/>
        <v>0</v>
      </c>
    </row>
    <row r="136" spans="2:16" ht="12.5">
      <c r="B136" s="160" t="str">
        <f t="shared" si="37"/>
        <v/>
      </c>
      <c r="C136" s="470">
        <f>IF(D93="","-",+C135+1)</f>
        <v>2047</v>
      </c>
      <c r="D136" s="345">
        <f>IF(F135+SUM(E$99:E135)=D$92,F135,D$92-SUM(E$99:E135))</f>
        <v>9474.5</v>
      </c>
      <c r="E136" s="484">
        <f>IF(+J96&lt;F135,J96,D136)</f>
        <v>2541</v>
      </c>
      <c r="F136" s="483">
        <f t="shared" si="58"/>
        <v>6933.5</v>
      </c>
      <c r="G136" s="483">
        <f t="shared" si="59"/>
        <v>8204</v>
      </c>
      <c r="H136" s="484">
        <f t="shared" si="56"/>
        <v>3478.1187432669749</v>
      </c>
      <c r="I136" s="540">
        <f t="shared" si="57"/>
        <v>3478.1187432669749</v>
      </c>
      <c r="J136" s="476">
        <f t="shared" si="60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3"/>
        <v>0</v>
      </c>
    </row>
    <row r="137" spans="2:16" ht="12.5">
      <c r="B137" s="160" t="str">
        <f t="shared" si="37"/>
        <v/>
      </c>
      <c r="C137" s="470">
        <f>IF(D93="","-",+C136+1)</f>
        <v>2048</v>
      </c>
      <c r="D137" s="345">
        <f>IF(F136+SUM(E$99:E136)=D$92,F136,D$92-SUM(E$99:E136))</f>
        <v>6933.5</v>
      </c>
      <c r="E137" s="484">
        <f>IF(+J96&lt;F136,J96,D137)</f>
        <v>2541</v>
      </c>
      <c r="F137" s="483">
        <f t="shared" si="58"/>
        <v>4392.5</v>
      </c>
      <c r="G137" s="483">
        <f t="shared" si="59"/>
        <v>5663</v>
      </c>
      <c r="H137" s="484">
        <f t="shared" si="56"/>
        <v>3187.8678014530569</v>
      </c>
      <c r="I137" s="540">
        <f t="shared" si="57"/>
        <v>3187.8678014530569</v>
      </c>
      <c r="J137" s="476">
        <f t="shared" si="60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3"/>
        <v>0</v>
      </c>
    </row>
    <row r="138" spans="2:16" ht="12.5">
      <c r="B138" s="160" t="str">
        <f t="shared" si="37"/>
        <v/>
      </c>
      <c r="C138" s="470">
        <f>IF(D93="","-",+C137+1)</f>
        <v>2049</v>
      </c>
      <c r="D138" s="345">
        <f>IF(F137+SUM(E$99:E137)=D$92,F137,D$92-SUM(E$99:E137))</f>
        <v>4392.5</v>
      </c>
      <c r="E138" s="484">
        <f>IF(+J96&lt;F137,J96,D138)</f>
        <v>2541</v>
      </c>
      <c r="F138" s="483">
        <f t="shared" si="58"/>
        <v>1851.5</v>
      </c>
      <c r="G138" s="483">
        <f t="shared" si="59"/>
        <v>3122</v>
      </c>
      <c r="H138" s="484">
        <f t="shared" si="56"/>
        <v>2897.616859639139</v>
      </c>
      <c r="I138" s="540">
        <f t="shared" si="57"/>
        <v>2897.616859639139</v>
      </c>
      <c r="J138" s="476">
        <f t="shared" si="60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3"/>
        <v>0</v>
      </c>
    </row>
    <row r="139" spans="2:16" ht="12.5">
      <c r="B139" s="160" t="str">
        <f t="shared" si="37"/>
        <v/>
      </c>
      <c r="C139" s="470">
        <f>IF(D93="","-",+C138+1)</f>
        <v>2050</v>
      </c>
      <c r="D139" s="345">
        <f>IF(F138+SUM(E$99:E138)=D$92,F138,D$92-SUM(E$99:E138))</f>
        <v>1851.5</v>
      </c>
      <c r="E139" s="484">
        <f>IF(+J96&lt;F138,J96,D139)</f>
        <v>1851.5</v>
      </c>
      <c r="F139" s="483">
        <f t="shared" si="58"/>
        <v>0</v>
      </c>
      <c r="G139" s="483">
        <f t="shared" si="59"/>
        <v>925.75</v>
      </c>
      <c r="H139" s="484">
        <f t="shared" si="56"/>
        <v>1957.24569436609</v>
      </c>
      <c r="I139" s="540">
        <f t="shared" si="57"/>
        <v>1957.24569436609</v>
      </c>
      <c r="J139" s="476">
        <f t="shared" si="60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3"/>
        <v>0</v>
      </c>
    </row>
    <row r="140" spans="2:16" ht="12.5">
      <c r="B140" s="160" t="str">
        <f t="shared" si="37"/>
        <v/>
      </c>
      <c r="C140" s="470">
        <f>IF(D93="","-",+C139+1)</f>
        <v>2051</v>
      </c>
      <c r="D140" s="345">
        <f>IF(F139+SUM(E$99:E139)=D$92,F139,D$92-SUM(E$99:E139))</f>
        <v>0</v>
      </c>
      <c r="E140" s="484">
        <f>IF(+J96&lt;F139,J96,D140)</f>
        <v>0</v>
      </c>
      <c r="F140" s="483">
        <f t="shared" si="58"/>
        <v>0</v>
      </c>
      <c r="G140" s="483">
        <f t="shared" si="59"/>
        <v>0</v>
      </c>
      <c r="H140" s="484">
        <f t="shared" si="56"/>
        <v>0</v>
      </c>
      <c r="I140" s="540">
        <f t="shared" si="57"/>
        <v>0</v>
      </c>
      <c r="J140" s="476">
        <f t="shared" si="60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3"/>
        <v>0</v>
      </c>
    </row>
    <row r="141" spans="2:16" ht="12.5">
      <c r="B141" s="160" t="str">
        <f t="shared" si="37"/>
        <v/>
      </c>
      <c r="C141" s="470">
        <f>IF(D93="","-",+C140+1)</f>
        <v>2052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58"/>
        <v>0</v>
      </c>
      <c r="G141" s="483">
        <f t="shared" si="59"/>
        <v>0</v>
      </c>
      <c r="H141" s="484">
        <f t="shared" si="56"/>
        <v>0</v>
      </c>
      <c r="I141" s="540">
        <f t="shared" si="57"/>
        <v>0</v>
      </c>
      <c r="J141" s="476">
        <f t="shared" si="60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3"/>
        <v>0</v>
      </c>
    </row>
    <row r="142" spans="2:16" ht="12.5">
      <c r="B142" s="160" t="str">
        <f t="shared" si="37"/>
        <v/>
      </c>
      <c r="C142" s="470">
        <f>IF(D93="","-",+C141+1)</f>
        <v>2053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58"/>
        <v>0</v>
      </c>
      <c r="G142" s="483">
        <f t="shared" si="59"/>
        <v>0</v>
      </c>
      <c r="H142" s="484">
        <f t="shared" si="56"/>
        <v>0</v>
      </c>
      <c r="I142" s="540">
        <f t="shared" si="57"/>
        <v>0</v>
      </c>
      <c r="J142" s="476">
        <f t="shared" si="60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3"/>
        <v>0</v>
      </c>
    </row>
    <row r="143" spans="2:16" ht="12.5">
      <c r="B143" s="160" t="str">
        <f t="shared" si="37"/>
        <v/>
      </c>
      <c r="C143" s="470">
        <f>IF(D93="","-",+C142+1)</f>
        <v>2054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8"/>
        <v>0</v>
      </c>
      <c r="G143" s="483">
        <f t="shared" si="59"/>
        <v>0</v>
      </c>
      <c r="H143" s="484">
        <f t="shared" si="56"/>
        <v>0</v>
      </c>
      <c r="I143" s="540">
        <f t="shared" si="57"/>
        <v>0</v>
      </c>
      <c r="J143" s="476">
        <f t="shared" si="60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3"/>
        <v>0</v>
      </c>
    </row>
    <row r="144" spans="2:16" ht="12.5">
      <c r="B144" s="160" t="str">
        <f t="shared" si="37"/>
        <v/>
      </c>
      <c r="C144" s="470">
        <f>IF(D93="","-",+C143+1)</f>
        <v>2055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8"/>
        <v>0</v>
      </c>
      <c r="G144" s="483">
        <f t="shared" si="59"/>
        <v>0</v>
      </c>
      <c r="H144" s="484">
        <f t="shared" si="56"/>
        <v>0</v>
      </c>
      <c r="I144" s="540">
        <f t="shared" si="57"/>
        <v>0</v>
      </c>
      <c r="J144" s="476">
        <f t="shared" si="60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3"/>
        <v>0</v>
      </c>
    </row>
    <row r="145" spans="2:16" ht="12.5">
      <c r="B145" s="160" t="str">
        <f t="shared" si="37"/>
        <v/>
      </c>
      <c r="C145" s="470">
        <f>IF(D93="","-",+C144+1)</f>
        <v>2056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8"/>
        <v>0</v>
      </c>
      <c r="G145" s="483">
        <f t="shared" si="59"/>
        <v>0</v>
      </c>
      <c r="H145" s="484">
        <f t="shared" si="56"/>
        <v>0</v>
      </c>
      <c r="I145" s="540">
        <f t="shared" si="57"/>
        <v>0</v>
      </c>
      <c r="J145" s="476">
        <f t="shared" si="60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3"/>
        <v>0</v>
      </c>
    </row>
    <row r="146" spans="2:16" ht="12.5">
      <c r="B146" s="160" t="str">
        <f t="shared" si="37"/>
        <v/>
      </c>
      <c r="C146" s="470">
        <f>IF(D93="","-",+C145+1)</f>
        <v>2057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ref="F146:F154" si="64">+D146-E146</f>
        <v>0</v>
      </c>
      <c r="G146" s="483">
        <f t="shared" ref="G146:G154" si="65">+(F146+D146)/2</f>
        <v>0</v>
      </c>
      <c r="H146" s="484">
        <f t="shared" si="56"/>
        <v>0</v>
      </c>
      <c r="I146" s="540">
        <f t="shared" si="57"/>
        <v>0</v>
      </c>
      <c r="J146" s="476">
        <f t="shared" si="60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3"/>
        <v>0</v>
      </c>
    </row>
    <row r="147" spans="2:16" ht="12.5">
      <c r="B147" s="160" t="str">
        <f t="shared" si="37"/>
        <v/>
      </c>
      <c r="C147" s="470">
        <f>IF(D93="","-",+C146+1)</f>
        <v>2058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64"/>
        <v>0</v>
      </c>
      <c r="G147" s="483">
        <f t="shared" si="65"/>
        <v>0</v>
      </c>
      <c r="H147" s="484">
        <f t="shared" si="56"/>
        <v>0</v>
      </c>
      <c r="I147" s="540">
        <f t="shared" si="57"/>
        <v>0</v>
      </c>
      <c r="J147" s="476">
        <f t="shared" si="60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3"/>
        <v>0</v>
      </c>
    </row>
    <row r="148" spans="2:16" ht="12.5">
      <c r="B148" s="160" t="str">
        <f t="shared" si="37"/>
        <v/>
      </c>
      <c r="C148" s="470">
        <f>IF(D93="","-",+C147+1)</f>
        <v>2059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64"/>
        <v>0</v>
      </c>
      <c r="G148" s="483">
        <f t="shared" si="65"/>
        <v>0</v>
      </c>
      <c r="H148" s="484">
        <f t="shared" si="56"/>
        <v>0</v>
      </c>
      <c r="I148" s="540">
        <f t="shared" si="57"/>
        <v>0</v>
      </c>
      <c r="J148" s="476">
        <f t="shared" si="60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3"/>
        <v>0</v>
      </c>
    </row>
    <row r="149" spans="2:16" ht="12.5">
      <c r="B149" s="160" t="str">
        <f t="shared" si="37"/>
        <v/>
      </c>
      <c r="C149" s="470">
        <f>IF(D93="","-",+C148+1)</f>
        <v>2060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64"/>
        <v>0</v>
      </c>
      <c r="G149" s="483">
        <f t="shared" si="65"/>
        <v>0</v>
      </c>
      <c r="H149" s="484">
        <f t="shared" si="56"/>
        <v>0</v>
      </c>
      <c r="I149" s="540">
        <f t="shared" si="57"/>
        <v>0</v>
      </c>
      <c r="J149" s="476">
        <f t="shared" si="60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3"/>
        <v>0</v>
      </c>
    </row>
    <row r="150" spans="2:16" ht="12.5">
      <c r="B150" s="160" t="str">
        <f t="shared" si="37"/>
        <v/>
      </c>
      <c r="C150" s="470">
        <f>IF(D93="","-",+C149+1)</f>
        <v>2061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64"/>
        <v>0</v>
      </c>
      <c r="G150" s="483">
        <f t="shared" si="65"/>
        <v>0</v>
      </c>
      <c r="H150" s="484">
        <f t="shared" si="56"/>
        <v>0</v>
      </c>
      <c r="I150" s="540">
        <f t="shared" si="57"/>
        <v>0</v>
      </c>
      <c r="J150" s="476">
        <f t="shared" si="60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3"/>
        <v>0</v>
      </c>
    </row>
    <row r="151" spans="2:16" ht="12.5">
      <c r="B151" s="160" t="str">
        <f t="shared" si="37"/>
        <v/>
      </c>
      <c r="C151" s="470">
        <f>IF(D93="","-",+C150+1)</f>
        <v>2062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64"/>
        <v>0</v>
      </c>
      <c r="G151" s="483">
        <f t="shared" si="65"/>
        <v>0</v>
      </c>
      <c r="H151" s="484">
        <f t="shared" si="56"/>
        <v>0</v>
      </c>
      <c r="I151" s="540">
        <f t="shared" si="57"/>
        <v>0</v>
      </c>
      <c r="J151" s="476">
        <f t="shared" si="60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3"/>
        <v>0</v>
      </c>
    </row>
    <row r="152" spans="2:16" ht="12.5">
      <c r="B152" s="160" t="str">
        <f t="shared" si="37"/>
        <v/>
      </c>
      <c r="C152" s="470">
        <f>IF(D93="","-",+C151+1)</f>
        <v>2063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64"/>
        <v>0</v>
      </c>
      <c r="G152" s="483">
        <f t="shared" si="65"/>
        <v>0</v>
      </c>
      <c r="H152" s="484">
        <f t="shared" si="56"/>
        <v>0</v>
      </c>
      <c r="I152" s="540">
        <f t="shared" si="57"/>
        <v>0</v>
      </c>
      <c r="J152" s="476">
        <f t="shared" si="60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3"/>
        <v>0</v>
      </c>
    </row>
    <row r="153" spans="2:16" ht="12.5">
      <c r="B153" s="160" t="str">
        <f t="shared" si="37"/>
        <v/>
      </c>
      <c r="C153" s="470">
        <f>IF(D93="","-",+C152+1)</f>
        <v>2064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64"/>
        <v>0</v>
      </c>
      <c r="G153" s="483">
        <f t="shared" si="65"/>
        <v>0</v>
      </c>
      <c r="H153" s="484">
        <f t="shared" si="56"/>
        <v>0</v>
      </c>
      <c r="I153" s="540">
        <f t="shared" si="57"/>
        <v>0</v>
      </c>
      <c r="J153" s="476">
        <f t="shared" si="60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3"/>
        <v>0</v>
      </c>
    </row>
    <row r="154" spans="2:16" ht="13" thickBot="1">
      <c r="B154" s="160" t="str">
        <f t="shared" si="37"/>
        <v/>
      </c>
      <c r="C154" s="487">
        <f>IF(D93="","-",+C153+1)</f>
        <v>2065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64"/>
        <v>0</v>
      </c>
      <c r="G154" s="488">
        <f t="shared" si="65"/>
        <v>0</v>
      </c>
      <c r="H154" s="490">
        <f t="shared" ref="H154" si="66">+J$94*G154+E154</f>
        <v>0</v>
      </c>
      <c r="I154" s="543">
        <f t="shared" ref="I154" si="67">+J$95*G154+E154</f>
        <v>0</v>
      </c>
      <c r="J154" s="493">
        <f t="shared" si="60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3"/>
        <v>0</v>
      </c>
    </row>
    <row r="155" spans="2:16" ht="12.5">
      <c r="C155" s="345" t="s">
        <v>77</v>
      </c>
      <c r="D155" s="346"/>
      <c r="E155" s="346">
        <f>SUM(E99:E154)</f>
        <v>96566</v>
      </c>
      <c r="F155" s="346"/>
      <c r="G155" s="346"/>
      <c r="H155" s="346">
        <f>SUM(H99:H154)</f>
        <v>343121.79483022849</v>
      </c>
      <c r="I155" s="346">
        <f>SUM(I99:I154)</f>
        <v>343121.79483022849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1">
    <tabColor rgb="FF92D050"/>
  </sheetPr>
  <dimension ref="A1:P162"/>
  <sheetViews>
    <sheetView topLeftCell="B1" zoomScaleNormal="100" zoomScaleSheetLayoutView="75" workbookViewId="0">
      <selection activeCell="D94" sqref="D9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3" width="17.7265625" style="148" customWidth="1"/>
    <col min="14" max="14" width="16.7265625" style="148" customWidth="1"/>
    <col min="15" max="15" width="18.4531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11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567" t="s">
        <v>260</v>
      </c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157566.55435897436</v>
      </c>
      <c r="P5" s="231"/>
    </row>
    <row r="6" spans="1:16" ht="15.5">
      <c r="C6" s="568" t="s">
        <v>261</v>
      </c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157566.55435897436</v>
      </c>
      <c r="O6" s="231"/>
      <c r="P6" s="231"/>
    </row>
    <row r="7" spans="1:16" ht="13.5" thickBot="1">
      <c r="C7" s="429" t="s">
        <v>46</v>
      </c>
      <c r="D7" s="430" t="s">
        <v>229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6" thickBot="1">
      <c r="C8" s="569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228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1404099.6199999999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2011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36002.554358974354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2011</v>
      </c>
      <c r="D17" s="471">
        <v>1624000</v>
      </c>
      <c r="E17" s="472">
        <v>15921.568627450981</v>
      </c>
      <c r="F17" s="471">
        <v>1608078.4313725489</v>
      </c>
      <c r="G17" s="472">
        <v>267655.54041850357</v>
      </c>
      <c r="H17" s="479">
        <v>267655.54041850357</v>
      </c>
      <c r="I17" s="473">
        <f>H17-G17</f>
        <v>0</v>
      </c>
      <c r="J17" s="473"/>
      <c r="K17" s="552">
        <f t="shared" ref="K17:K22" si="0">G17</f>
        <v>267655.54041850357</v>
      </c>
      <c r="L17" s="560">
        <f t="shared" ref="L17:L48" si="1">IF(K17&lt;&gt;0,+G17-K17,0)</f>
        <v>0</v>
      </c>
      <c r="M17" s="552">
        <f t="shared" ref="M17:M22" si="2">H17</f>
        <v>267655.54041850357</v>
      </c>
      <c r="N17" s="475">
        <f t="shared" ref="N17:N48" si="3">IF(M17&lt;&gt;0,+H17-M17,0)</f>
        <v>0</v>
      </c>
      <c r="O17" s="476">
        <f t="shared" ref="O17:O48" si="4">+N17-L17</f>
        <v>0</v>
      </c>
      <c r="P17" s="241"/>
    </row>
    <row r="18" spans="2:16" ht="12.5">
      <c r="B18" s="160" t="str">
        <f t="shared" ref="B18:B49" si="5">IF(D18=F17,"","IU")</f>
        <v>IU</v>
      </c>
      <c r="C18" s="470">
        <f>IF(D11="","-",+C17+1)</f>
        <v>2012</v>
      </c>
      <c r="D18" s="477">
        <v>1420815.4313725489</v>
      </c>
      <c r="E18" s="478">
        <v>27629.557692307691</v>
      </c>
      <c r="F18" s="477">
        <v>1393185.8736802412</v>
      </c>
      <c r="G18" s="478">
        <v>221570.55769230769</v>
      </c>
      <c r="H18" s="479">
        <v>221570.55769230769</v>
      </c>
      <c r="I18" s="473">
        <f t="shared" ref="I18:I48" si="6">H18-G18</f>
        <v>0</v>
      </c>
      <c r="J18" s="473"/>
      <c r="K18" s="474">
        <f t="shared" si="0"/>
        <v>221570.55769230769</v>
      </c>
      <c r="L18" s="548">
        <f t="shared" si="1"/>
        <v>0</v>
      </c>
      <c r="M18" s="474">
        <f t="shared" si="2"/>
        <v>221570.55769230769</v>
      </c>
      <c r="N18" s="476">
        <f t="shared" si="3"/>
        <v>0</v>
      </c>
      <c r="O18" s="476">
        <f t="shared" si="4"/>
        <v>0</v>
      </c>
      <c r="P18" s="241"/>
    </row>
    <row r="19" spans="2:16" ht="12.5">
      <c r="B19" s="160" t="str">
        <f t="shared" si="5"/>
        <v>IU</v>
      </c>
      <c r="C19" s="470">
        <f>IF(D11="","-",+C18+1)</f>
        <v>2013</v>
      </c>
      <c r="D19" s="477">
        <v>1450171.8736802414</v>
      </c>
      <c r="E19" s="478">
        <v>28725.442307692309</v>
      </c>
      <c r="F19" s="477">
        <v>1421446.4313725492</v>
      </c>
      <c r="G19" s="478">
        <v>231717.44230769231</v>
      </c>
      <c r="H19" s="479">
        <v>231717.44230769231</v>
      </c>
      <c r="I19" s="473">
        <v>0</v>
      </c>
      <c r="J19" s="473"/>
      <c r="K19" s="474">
        <f t="shared" si="0"/>
        <v>231717.44230769231</v>
      </c>
      <c r="L19" s="548">
        <f t="shared" ref="L19:L24" si="7">IF(K19&lt;&gt;0,+G19-K19,0)</f>
        <v>0</v>
      </c>
      <c r="M19" s="474">
        <f t="shared" si="2"/>
        <v>231717.44230769231</v>
      </c>
      <c r="N19" s="476">
        <f t="shared" ref="N19:N24" si="8">IF(M19&lt;&gt;0,+H19-M19,0)</f>
        <v>0</v>
      </c>
      <c r="O19" s="476">
        <f t="shared" ref="O19:O24" si="9">+N19-L19</f>
        <v>0</v>
      </c>
      <c r="P19" s="241"/>
    </row>
    <row r="20" spans="2:16" ht="12.5">
      <c r="B20" s="160" t="str">
        <f t="shared" si="5"/>
        <v>IU</v>
      </c>
      <c r="C20" s="470">
        <f>IF(D11="","-",+C19+1)</f>
        <v>2014</v>
      </c>
      <c r="D20" s="477">
        <v>1331823.0513725488</v>
      </c>
      <c r="E20" s="478">
        <v>27001.915769230767</v>
      </c>
      <c r="F20" s="477">
        <v>1304821.135603318</v>
      </c>
      <c r="G20" s="478">
        <v>206621.91576923078</v>
      </c>
      <c r="H20" s="479">
        <v>206621.91576923078</v>
      </c>
      <c r="I20" s="473">
        <v>0</v>
      </c>
      <c r="J20" s="473"/>
      <c r="K20" s="474">
        <f t="shared" si="0"/>
        <v>206621.91576923078</v>
      </c>
      <c r="L20" s="548">
        <f t="shared" si="7"/>
        <v>0</v>
      </c>
      <c r="M20" s="474">
        <f t="shared" si="2"/>
        <v>206621.91576923078</v>
      </c>
      <c r="N20" s="476">
        <f t="shared" si="8"/>
        <v>0</v>
      </c>
      <c r="O20" s="476">
        <f t="shared" si="9"/>
        <v>0</v>
      </c>
      <c r="P20" s="241"/>
    </row>
    <row r="21" spans="2:16" ht="12.5">
      <c r="B21" s="160" t="str">
        <f t="shared" si="5"/>
        <v/>
      </c>
      <c r="C21" s="470">
        <f>IF(D11="","-",+C20+1)</f>
        <v>2015</v>
      </c>
      <c r="D21" s="477">
        <v>1304821.135603318</v>
      </c>
      <c r="E21" s="478">
        <v>27001.915769230767</v>
      </c>
      <c r="F21" s="477">
        <v>1277819.2198340872</v>
      </c>
      <c r="G21" s="478">
        <v>203176.91576923078</v>
      </c>
      <c r="H21" s="479">
        <v>203176.91576923078</v>
      </c>
      <c r="I21" s="473">
        <v>0</v>
      </c>
      <c r="J21" s="473"/>
      <c r="K21" s="474">
        <f t="shared" si="0"/>
        <v>203176.91576923078</v>
      </c>
      <c r="L21" s="548">
        <f t="shared" si="7"/>
        <v>0</v>
      </c>
      <c r="M21" s="474">
        <f t="shared" si="2"/>
        <v>203176.91576923078</v>
      </c>
      <c r="N21" s="476">
        <f t="shared" si="8"/>
        <v>0</v>
      </c>
      <c r="O21" s="476">
        <f t="shared" si="9"/>
        <v>0</v>
      </c>
      <c r="P21" s="241"/>
    </row>
    <row r="22" spans="2:16" ht="12.5">
      <c r="B22" s="160" t="str">
        <f t="shared" si="5"/>
        <v/>
      </c>
      <c r="C22" s="470">
        <f>IF(D11="","-",+C21+1)</f>
        <v>2016</v>
      </c>
      <c r="D22" s="477">
        <v>1277819.2198340872</v>
      </c>
      <c r="E22" s="478">
        <v>27001.915769230767</v>
      </c>
      <c r="F22" s="477">
        <v>1250817.3040648564</v>
      </c>
      <c r="G22" s="478">
        <v>191058.91576923078</v>
      </c>
      <c r="H22" s="479">
        <v>191058.91576923078</v>
      </c>
      <c r="I22" s="473">
        <f t="shared" si="6"/>
        <v>0</v>
      </c>
      <c r="J22" s="473"/>
      <c r="K22" s="474">
        <f t="shared" si="0"/>
        <v>191058.91576923078</v>
      </c>
      <c r="L22" s="548">
        <f t="shared" si="7"/>
        <v>0</v>
      </c>
      <c r="M22" s="474">
        <f t="shared" si="2"/>
        <v>191058.91576923078</v>
      </c>
      <c r="N22" s="476">
        <f t="shared" si="8"/>
        <v>0</v>
      </c>
      <c r="O22" s="476">
        <f t="shared" si="9"/>
        <v>0</v>
      </c>
      <c r="P22" s="241"/>
    </row>
    <row r="23" spans="2:16" ht="12.5">
      <c r="B23" s="160" t="str">
        <f t="shared" si="5"/>
        <v/>
      </c>
      <c r="C23" s="470">
        <f>IF(D11="","-",+C22+1)</f>
        <v>2017</v>
      </c>
      <c r="D23" s="477">
        <v>1250817.3040648564</v>
      </c>
      <c r="E23" s="478">
        <v>30523.904782608693</v>
      </c>
      <c r="F23" s="477">
        <v>1220293.3992822478</v>
      </c>
      <c r="G23" s="478">
        <v>185818.9047826087</v>
      </c>
      <c r="H23" s="479">
        <v>185818.9047826087</v>
      </c>
      <c r="I23" s="473">
        <f t="shared" si="6"/>
        <v>0</v>
      </c>
      <c r="J23" s="473"/>
      <c r="K23" s="474">
        <f t="shared" ref="K23:K28" si="10">G23</f>
        <v>185818.9047826087</v>
      </c>
      <c r="L23" s="548">
        <f t="shared" si="7"/>
        <v>0</v>
      </c>
      <c r="M23" s="474">
        <f t="shared" ref="M23:M28" si="11">H23</f>
        <v>185818.9047826087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5"/>
        <v/>
      </c>
      <c r="C24" s="470">
        <f>IF(D11="","-",+C23+1)</f>
        <v>2018</v>
      </c>
      <c r="D24" s="477">
        <v>1220293.3992822478</v>
      </c>
      <c r="E24" s="478">
        <v>31202.213777777775</v>
      </c>
      <c r="F24" s="477">
        <v>1189091.18550447</v>
      </c>
      <c r="G24" s="478">
        <v>175474.88659362236</v>
      </c>
      <c r="H24" s="479">
        <v>175474.88659362236</v>
      </c>
      <c r="I24" s="473">
        <f t="shared" si="6"/>
        <v>0</v>
      </c>
      <c r="J24" s="473"/>
      <c r="K24" s="474">
        <f t="shared" si="10"/>
        <v>175474.88659362236</v>
      </c>
      <c r="L24" s="548">
        <f t="shared" si="7"/>
        <v>0</v>
      </c>
      <c r="M24" s="474">
        <f t="shared" si="11"/>
        <v>175474.88659362236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5"/>
        <v/>
      </c>
      <c r="C25" s="470">
        <f>IF(D11="","-",+C24+1)</f>
        <v>2019</v>
      </c>
      <c r="D25" s="477">
        <v>1189091.18550447</v>
      </c>
      <c r="E25" s="478">
        <v>35102.4905</v>
      </c>
      <c r="F25" s="477">
        <v>1153988.6950044699</v>
      </c>
      <c r="G25" s="478">
        <v>165912.69365934882</v>
      </c>
      <c r="H25" s="479">
        <v>165912.69365934882</v>
      </c>
      <c r="I25" s="473">
        <f t="shared" si="6"/>
        <v>0</v>
      </c>
      <c r="J25" s="473"/>
      <c r="K25" s="474">
        <f t="shared" si="10"/>
        <v>165912.69365934882</v>
      </c>
      <c r="L25" s="548">
        <f t="shared" ref="L25" si="12">IF(K25&lt;&gt;0,+G25-K25,0)</f>
        <v>0</v>
      </c>
      <c r="M25" s="474">
        <f t="shared" si="11"/>
        <v>165912.69365934882</v>
      </c>
      <c r="N25" s="476">
        <f t="shared" ref="N25" si="13">IF(M25&lt;&gt;0,+H25-M25,0)</f>
        <v>0</v>
      </c>
      <c r="O25" s="476">
        <f t="shared" ref="O25" si="14">+N25-L25</f>
        <v>0</v>
      </c>
      <c r="P25" s="241"/>
    </row>
    <row r="26" spans="2:16" ht="12.5">
      <c r="B26" s="160" t="str">
        <f t="shared" si="5"/>
        <v>IU</v>
      </c>
      <c r="C26" s="470">
        <f>IF(D11="","-",+C25+1)</f>
        <v>2020</v>
      </c>
      <c r="D26" s="477">
        <v>1157888.9717266923</v>
      </c>
      <c r="E26" s="478">
        <v>33430.943333333329</v>
      </c>
      <c r="F26" s="477">
        <v>1124458.0283933589</v>
      </c>
      <c r="G26" s="478">
        <v>156683.13262286683</v>
      </c>
      <c r="H26" s="479">
        <v>156683.13262286683</v>
      </c>
      <c r="I26" s="473">
        <f t="shared" si="6"/>
        <v>0</v>
      </c>
      <c r="J26" s="473"/>
      <c r="K26" s="474">
        <f t="shared" si="10"/>
        <v>156683.13262286683</v>
      </c>
      <c r="L26" s="548">
        <f t="shared" ref="L26" si="15">IF(K26&lt;&gt;0,+G26-K26,0)</f>
        <v>0</v>
      </c>
      <c r="M26" s="474">
        <f t="shared" si="11"/>
        <v>156683.13262286683</v>
      </c>
      <c r="N26" s="476">
        <f t="shared" si="3"/>
        <v>0</v>
      </c>
      <c r="O26" s="476">
        <f t="shared" si="4"/>
        <v>0</v>
      </c>
      <c r="P26" s="241"/>
    </row>
    <row r="27" spans="2:16" ht="12.5">
      <c r="B27" s="160" t="str">
        <f t="shared" si="5"/>
        <v>IU</v>
      </c>
      <c r="C27" s="470">
        <f>IF(D11="","-",+C26+1)</f>
        <v>2021</v>
      </c>
      <c r="D27" s="477">
        <v>1120557.7516711368</v>
      </c>
      <c r="E27" s="478">
        <v>32653.479534883718</v>
      </c>
      <c r="F27" s="477">
        <v>1087904.2721362531</v>
      </c>
      <c r="G27" s="478">
        <v>149953.47953488372</v>
      </c>
      <c r="H27" s="479">
        <v>149953.47953488372</v>
      </c>
      <c r="I27" s="473">
        <f t="shared" si="6"/>
        <v>0</v>
      </c>
      <c r="J27" s="473"/>
      <c r="K27" s="474">
        <f t="shared" si="10"/>
        <v>149953.47953488372</v>
      </c>
      <c r="L27" s="548">
        <f t="shared" ref="L27" si="16">IF(K27&lt;&gt;0,+G27-K27,0)</f>
        <v>0</v>
      </c>
      <c r="M27" s="474">
        <f t="shared" si="11"/>
        <v>149953.47953488372</v>
      </c>
      <c r="N27" s="476">
        <f t="shared" si="3"/>
        <v>0</v>
      </c>
      <c r="O27" s="476">
        <f t="shared" si="4"/>
        <v>0</v>
      </c>
      <c r="P27" s="241"/>
    </row>
    <row r="28" spans="2:16" ht="12.5">
      <c r="B28" s="160" t="str">
        <f t="shared" si="5"/>
        <v/>
      </c>
      <c r="C28" s="470">
        <f>IF(D11="","-",+C27+1)</f>
        <v>2022</v>
      </c>
      <c r="D28" s="477">
        <v>1087904.2721362531</v>
      </c>
      <c r="E28" s="478">
        <v>33430.943333333329</v>
      </c>
      <c r="F28" s="477">
        <v>1054473.3288029197</v>
      </c>
      <c r="G28" s="478">
        <v>147114.94333333333</v>
      </c>
      <c r="H28" s="479">
        <v>147114.94333333333</v>
      </c>
      <c r="I28" s="473">
        <f t="shared" si="6"/>
        <v>0</v>
      </c>
      <c r="J28" s="473"/>
      <c r="K28" s="474">
        <f t="shared" si="10"/>
        <v>147114.94333333333</v>
      </c>
      <c r="L28" s="548">
        <f t="shared" ref="L28" si="17">IF(K28&lt;&gt;0,+G28-K28,0)</f>
        <v>0</v>
      </c>
      <c r="M28" s="474">
        <f t="shared" si="11"/>
        <v>147114.94333333333</v>
      </c>
      <c r="N28" s="476">
        <f t="shared" si="3"/>
        <v>0</v>
      </c>
      <c r="O28" s="476">
        <f t="shared" si="4"/>
        <v>0</v>
      </c>
      <c r="P28" s="241"/>
    </row>
    <row r="29" spans="2:16" ht="12.5">
      <c r="B29" s="160" t="str">
        <f t="shared" si="5"/>
        <v/>
      </c>
      <c r="C29" s="470">
        <f>IF(D11="","-",+C28+1)</f>
        <v>2023</v>
      </c>
      <c r="D29" s="477">
        <v>1054473.3288029197</v>
      </c>
      <c r="E29" s="478">
        <v>36002.554358974354</v>
      </c>
      <c r="F29" s="477">
        <v>1018470.7744439454</v>
      </c>
      <c r="G29" s="478">
        <v>157566.55435897436</v>
      </c>
      <c r="H29" s="479">
        <v>157566.55435897436</v>
      </c>
      <c r="I29" s="473">
        <f t="shared" si="6"/>
        <v>0</v>
      </c>
      <c r="J29" s="473"/>
      <c r="K29" s="474">
        <f t="shared" ref="K29" si="18">G29</f>
        <v>157566.55435897436</v>
      </c>
      <c r="L29" s="548">
        <f t="shared" ref="L29" si="19">IF(K29&lt;&gt;0,+G29-K29,0)</f>
        <v>0</v>
      </c>
      <c r="M29" s="474">
        <f t="shared" ref="M29" si="20">H29</f>
        <v>157566.55435897436</v>
      </c>
      <c r="N29" s="476">
        <f t="shared" si="3"/>
        <v>0</v>
      </c>
      <c r="O29" s="476">
        <f t="shared" si="4"/>
        <v>0</v>
      </c>
      <c r="P29" s="241"/>
    </row>
    <row r="30" spans="2:16" ht="12.5">
      <c r="B30" s="160" t="str">
        <f t="shared" si="5"/>
        <v/>
      </c>
      <c r="C30" s="470">
        <f>IF(D11="","-",+C29+1)</f>
        <v>2024</v>
      </c>
      <c r="D30" s="483">
        <f>IF(F29+SUM(E$17:E29)=D$10,F29,D$10-SUM(E$17:E29))</f>
        <v>1018470.7744439454</v>
      </c>
      <c r="E30" s="482">
        <f>IF(+I14&lt;F29,I14,D30)</f>
        <v>36002.554358974354</v>
      </c>
      <c r="F30" s="483">
        <f t="shared" ref="F30:F49" si="21">+D30-E30</f>
        <v>982468.22008497105</v>
      </c>
      <c r="G30" s="484">
        <f t="shared" ref="G30:G72" si="22">(D30+F30)/2*I$12+E30</f>
        <v>155417.54371659239</v>
      </c>
      <c r="H30" s="453">
        <f t="shared" ref="H30:H72" si="23">+(D30+F30)/2*I$13+E30</f>
        <v>155417.54371659239</v>
      </c>
      <c r="I30" s="473">
        <f t="shared" si="6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 ht="12.5">
      <c r="B31" s="160" t="str">
        <f t="shared" si="5"/>
        <v/>
      </c>
      <c r="C31" s="470">
        <f>IF(D11="","-",+C30+1)</f>
        <v>2025</v>
      </c>
      <c r="D31" s="483">
        <f>IF(F30+SUM(E$17:E30)=D$10,F30,D$10-SUM(E$17:E30))</f>
        <v>982468.22008497105</v>
      </c>
      <c r="E31" s="482">
        <f>IF(+I14&lt;F30,I14,D31)</f>
        <v>36002.554358974354</v>
      </c>
      <c r="F31" s="483">
        <f t="shared" si="21"/>
        <v>946465.66572599672</v>
      </c>
      <c r="G31" s="484">
        <f t="shared" si="22"/>
        <v>151120.31660734097</v>
      </c>
      <c r="H31" s="453">
        <f t="shared" si="23"/>
        <v>151120.31660734097</v>
      </c>
      <c r="I31" s="473">
        <f t="shared" si="6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 ht="12.5">
      <c r="B32" s="160" t="str">
        <f t="shared" si="5"/>
        <v/>
      </c>
      <c r="C32" s="470">
        <f>IF(D11="","-",+C31+1)</f>
        <v>2026</v>
      </c>
      <c r="D32" s="483">
        <f>IF(F31+SUM(E$17:E31)=D$10,F31,D$10-SUM(E$17:E31))</f>
        <v>946465.66572599672</v>
      </c>
      <c r="E32" s="482">
        <f>IF(+I14&lt;F31,I14,D32)</f>
        <v>36002.554358974354</v>
      </c>
      <c r="F32" s="483">
        <f t="shared" si="21"/>
        <v>910463.11136702239</v>
      </c>
      <c r="G32" s="484">
        <f t="shared" si="22"/>
        <v>146823.08949808951</v>
      </c>
      <c r="H32" s="453">
        <f t="shared" si="23"/>
        <v>146823.08949808951</v>
      </c>
      <c r="I32" s="473">
        <f t="shared" si="6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 ht="12.5">
      <c r="B33" s="160" t="str">
        <f t="shared" si="5"/>
        <v/>
      </c>
      <c r="C33" s="470">
        <f>IF(D11="","-",+C32+1)</f>
        <v>2027</v>
      </c>
      <c r="D33" s="483">
        <f>IF(F32+SUM(E$17:E32)=D$10,F32,D$10-SUM(E$17:E32))</f>
        <v>910463.11136702239</v>
      </c>
      <c r="E33" s="482">
        <f>IF(+I14&lt;F32,I14,D33)</f>
        <v>36002.554358974354</v>
      </c>
      <c r="F33" s="483">
        <f t="shared" si="21"/>
        <v>874460.55700804805</v>
      </c>
      <c r="G33" s="484">
        <f t="shared" si="22"/>
        <v>142525.86238883808</v>
      </c>
      <c r="H33" s="453">
        <f t="shared" si="23"/>
        <v>142525.86238883808</v>
      </c>
      <c r="I33" s="473">
        <f t="shared" si="6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 ht="12.5">
      <c r="B34" s="160" t="str">
        <f t="shared" si="5"/>
        <v/>
      </c>
      <c r="C34" s="470">
        <f>IF(D11="","-",+C33+1)</f>
        <v>2028</v>
      </c>
      <c r="D34" s="483">
        <f>IF(F33+SUM(E$17:E33)=D$10,F33,D$10-SUM(E$17:E33))</f>
        <v>874460.55700804805</v>
      </c>
      <c r="E34" s="482">
        <f>IF(+I14&lt;F33,I14,D34)</f>
        <v>36002.554358974354</v>
      </c>
      <c r="F34" s="483">
        <f t="shared" si="21"/>
        <v>838458.00264907372</v>
      </c>
      <c r="G34" s="484">
        <f t="shared" si="22"/>
        <v>138228.63527958666</v>
      </c>
      <c r="H34" s="453">
        <f t="shared" si="23"/>
        <v>138228.63527958666</v>
      </c>
      <c r="I34" s="473">
        <f t="shared" si="6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 ht="12.5">
      <c r="B35" s="160" t="str">
        <f t="shared" si="5"/>
        <v/>
      </c>
      <c r="C35" s="470">
        <f>IF(D11="","-",+C34+1)</f>
        <v>2029</v>
      </c>
      <c r="D35" s="483">
        <f>IF(F34+SUM(E$17:E34)=D$10,F34,D$10-SUM(E$17:E34))</f>
        <v>838458.00264907372</v>
      </c>
      <c r="E35" s="482">
        <f>IF(+I14&lt;F34,I14,D35)</f>
        <v>36002.554358974354</v>
      </c>
      <c r="F35" s="483">
        <f t="shared" si="21"/>
        <v>802455.44829009939</v>
      </c>
      <c r="G35" s="484">
        <f t="shared" si="22"/>
        <v>133931.4081703352</v>
      </c>
      <c r="H35" s="453">
        <f t="shared" si="23"/>
        <v>133931.4081703352</v>
      </c>
      <c r="I35" s="473">
        <f t="shared" si="6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 ht="12.5">
      <c r="B36" s="160" t="str">
        <f t="shared" si="5"/>
        <v/>
      </c>
      <c r="C36" s="470">
        <f>IF(D11="","-",+C35+1)</f>
        <v>2030</v>
      </c>
      <c r="D36" s="483">
        <f>IF(F35+SUM(E$17:E35)=D$10,F35,D$10-SUM(E$17:E35))</f>
        <v>802455.44829009939</v>
      </c>
      <c r="E36" s="482">
        <f>IF(+I14&lt;F35,I14,D36)</f>
        <v>36002.554358974354</v>
      </c>
      <c r="F36" s="483">
        <f t="shared" si="21"/>
        <v>766452.89393112506</v>
      </c>
      <c r="G36" s="484">
        <f t="shared" si="22"/>
        <v>129634.18106108377</v>
      </c>
      <c r="H36" s="453">
        <f t="shared" si="23"/>
        <v>129634.18106108377</v>
      </c>
      <c r="I36" s="473">
        <f t="shared" si="6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 ht="12.5">
      <c r="B37" s="160" t="str">
        <f t="shared" si="5"/>
        <v/>
      </c>
      <c r="C37" s="470">
        <f>IF(D11="","-",+C36+1)</f>
        <v>2031</v>
      </c>
      <c r="D37" s="483">
        <f>IF(F36+SUM(E$17:E36)=D$10,F36,D$10-SUM(E$17:E36))</f>
        <v>766452.89393112506</v>
      </c>
      <c r="E37" s="482">
        <f>IF(+I14&lt;F36,I14,D37)</f>
        <v>36002.554358974354</v>
      </c>
      <c r="F37" s="483">
        <f t="shared" si="21"/>
        <v>730450.33957215073</v>
      </c>
      <c r="G37" s="484">
        <f t="shared" si="22"/>
        <v>125336.95395183234</v>
      </c>
      <c r="H37" s="453">
        <f t="shared" si="23"/>
        <v>125336.95395183234</v>
      </c>
      <c r="I37" s="473">
        <f t="shared" si="6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 ht="12.5">
      <c r="B38" s="160" t="str">
        <f t="shared" si="5"/>
        <v/>
      </c>
      <c r="C38" s="470">
        <f>IF(D11="","-",+C37+1)</f>
        <v>2032</v>
      </c>
      <c r="D38" s="483">
        <f>IF(F37+SUM(E$17:E37)=D$10,F37,D$10-SUM(E$17:E37))</f>
        <v>730450.33957215073</v>
      </c>
      <c r="E38" s="482">
        <f>IF(+I14&lt;F37,I14,D38)</f>
        <v>36002.554358974354</v>
      </c>
      <c r="F38" s="483">
        <f t="shared" si="21"/>
        <v>694447.78521317639</v>
      </c>
      <c r="G38" s="484">
        <f t="shared" si="22"/>
        <v>121039.72684258092</v>
      </c>
      <c r="H38" s="453">
        <f t="shared" si="23"/>
        <v>121039.72684258092</v>
      </c>
      <c r="I38" s="473">
        <f t="shared" si="6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 ht="12.5">
      <c r="B39" s="160" t="str">
        <f t="shared" si="5"/>
        <v/>
      </c>
      <c r="C39" s="470">
        <f>IF(D11="","-",+C38+1)</f>
        <v>2033</v>
      </c>
      <c r="D39" s="483">
        <f>IF(F38+SUM(E$17:E38)=D$10,F38,D$10-SUM(E$17:E38))</f>
        <v>694447.78521317639</v>
      </c>
      <c r="E39" s="482">
        <f>IF(+I14&lt;F38,I14,D39)</f>
        <v>36002.554358974354</v>
      </c>
      <c r="F39" s="483">
        <f t="shared" si="21"/>
        <v>658445.23085420206</v>
      </c>
      <c r="G39" s="484">
        <f t="shared" si="22"/>
        <v>116742.49973332946</v>
      </c>
      <c r="H39" s="453">
        <f t="shared" si="23"/>
        <v>116742.49973332946</v>
      </c>
      <c r="I39" s="473">
        <f t="shared" si="6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 ht="12.5">
      <c r="B40" s="160" t="str">
        <f t="shared" si="5"/>
        <v/>
      </c>
      <c r="C40" s="470">
        <f>IF(D11="","-",+C39+1)</f>
        <v>2034</v>
      </c>
      <c r="D40" s="483">
        <f>IF(F39+SUM(E$17:E39)=D$10,F39,D$10-SUM(E$17:E39))</f>
        <v>658445.23085420206</v>
      </c>
      <c r="E40" s="482">
        <f>IF(+I14&lt;F39,I14,D40)</f>
        <v>36002.554358974354</v>
      </c>
      <c r="F40" s="483">
        <f t="shared" si="21"/>
        <v>622442.67649522773</v>
      </c>
      <c r="G40" s="484">
        <f t="shared" si="22"/>
        <v>112445.27262407803</v>
      </c>
      <c r="H40" s="453">
        <f t="shared" si="23"/>
        <v>112445.27262407803</v>
      </c>
      <c r="I40" s="473">
        <f t="shared" si="6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 ht="12.5">
      <c r="B41" s="160" t="str">
        <f t="shared" si="5"/>
        <v/>
      </c>
      <c r="C41" s="470">
        <f>IF(D11="","-",+C40+1)</f>
        <v>2035</v>
      </c>
      <c r="D41" s="483">
        <f>IF(F40+SUM(E$17:E40)=D$10,F40,D$10-SUM(E$17:E40))</f>
        <v>622442.67649522773</v>
      </c>
      <c r="E41" s="482">
        <f>IF(+I14&lt;F40,I14,D41)</f>
        <v>36002.554358974354</v>
      </c>
      <c r="F41" s="483">
        <f t="shared" si="21"/>
        <v>586440.1221362534</v>
      </c>
      <c r="G41" s="484">
        <f t="shared" si="22"/>
        <v>108148.0455148266</v>
      </c>
      <c r="H41" s="453">
        <f t="shared" si="23"/>
        <v>108148.0455148266</v>
      </c>
      <c r="I41" s="473">
        <f t="shared" si="6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 ht="12.5">
      <c r="B42" s="160" t="str">
        <f t="shared" si="5"/>
        <v/>
      </c>
      <c r="C42" s="470">
        <f>IF(D11="","-",+C41+1)</f>
        <v>2036</v>
      </c>
      <c r="D42" s="483">
        <f>IF(F41+SUM(E$17:E41)=D$10,F41,D$10-SUM(E$17:E41))</f>
        <v>586440.1221362534</v>
      </c>
      <c r="E42" s="482">
        <f>IF(+I14&lt;F41,I14,D42)</f>
        <v>36002.554358974354</v>
      </c>
      <c r="F42" s="483">
        <f t="shared" si="21"/>
        <v>550437.56777727907</v>
      </c>
      <c r="G42" s="484">
        <f t="shared" si="22"/>
        <v>103850.81840557518</v>
      </c>
      <c r="H42" s="453">
        <f t="shared" si="23"/>
        <v>103850.81840557518</v>
      </c>
      <c r="I42" s="473">
        <f t="shared" si="6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 ht="12.5">
      <c r="B43" s="160" t="str">
        <f t="shared" si="5"/>
        <v/>
      </c>
      <c r="C43" s="470">
        <f>IF(D11="","-",+C42+1)</f>
        <v>2037</v>
      </c>
      <c r="D43" s="483">
        <f>IF(F42+SUM(E$17:E42)=D$10,F42,D$10-SUM(E$17:E42))</f>
        <v>550437.56777727907</v>
      </c>
      <c r="E43" s="482">
        <f>IF(+I14&lt;F42,I14,D43)</f>
        <v>36002.554358974354</v>
      </c>
      <c r="F43" s="483">
        <f t="shared" si="21"/>
        <v>514435.01341830473</v>
      </c>
      <c r="G43" s="484">
        <f t="shared" si="22"/>
        <v>99553.591296323721</v>
      </c>
      <c r="H43" s="453">
        <f t="shared" si="23"/>
        <v>99553.591296323721</v>
      </c>
      <c r="I43" s="473">
        <f t="shared" si="6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 ht="12.5">
      <c r="B44" s="160" t="str">
        <f t="shared" si="5"/>
        <v/>
      </c>
      <c r="C44" s="470">
        <f>IF(D11="","-",+C43+1)</f>
        <v>2038</v>
      </c>
      <c r="D44" s="483">
        <f>IF(F43+SUM(E$17:E43)=D$10,F43,D$10-SUM(E$17:E43))</f>
        <v>514435.01341830473</v>
      </c>
      <c r="E44" s="482">
        <f>IF(+I14&lt;F43,I14,D44)</f>
        <v>36002.554358974354</v>
      </c>
      <c r="F44" s="483">
        <f t="shared" si="21"/>
        <v>478432.4590593304</v>
      </c>
      <c r="G44" s="484">
        <f t="shared" si="22"/>
        <v>95256.364187072293</v>
      </c>
      <c r="H44" s="453">
        <f t="shared" si="23"/>
        <v>95256.364187072293</v>
      </c>
      <c r="I44" s="473">
        <f t="shared" si="6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 ht="12.5">
      <c r="B45" s="160" t="str">
        <f t="shared" si="5"/>
        <v/>
      </c>
      <c r="C45" s="470">
        <f>IF(D11="","-",+C44+1)</f>
        <v>2039</v>
      </c>
      <c r="D45" s="483">
        <f>IF(F44+SUM(E$17:E44)=D$10,F44,D$10-SUM(E$17:E44))</f>
        <v>478432.4590593304</v>
      </c>
      <c r="E45" s="482">
        <f>IF(+I14&lt;F44,I14,D45)</f>
        <v>36002.554358974354</v>
      </c>
      <c r="F45" s="483">
        <f t="shared" si="21"/>
        <v>442429.90470035607</v>
      </c>
      <c r="G45" s="484">
        <f t="shared" si="22"/>
        <v>90959.137077820866</v>
      </c>
      <c r="H45" s="453">
        <f t="shared" si="23"/>
        <v>90959.137077820866</v>
      </c>
      <c r="I45" s="473">
        <f t="shared" si="6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 ht="12.5">
      <c r="B46" s="160" t="str">
        <f t="shared" si="5"/>
        <v/>
      </c>
      <c r="C46" s="470">
        <f>IF(D11="","-",+C45+1)</f>
        <v>2040</v>
      </c>
      <c r="D46" s="483">
        <f>IF(F45+SUM(E$17:E45)=D$10,F45,D$10-SUM(E$17:E45))</f>
        <v>442429.90470035607</v>
      </c>
      <c r="E46" s="482">
        <f>IF(+I14&lt;F45,I14,D46)</f>
        <v>36002.554358974354</v>
      </c>
      <c r="F46" s="483">
        <f t="shared" si="21"/>
        <v>406427.35034138174</v>
      </c>
      <c r="G46" s="484">
        <f t="shared" si="22"/>
        <v>86661.909968569424</v>
      </c>
      <c r="H46" s="453">
        <f t="shared" si="23"/>
        <v>86661.909968569424</v>
      </c>
      <c r="I46" s="473">
        <f t="shared" si="6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 ht="12.5">
      <c r="B47" s="160" t="str">
        <f t="shared" si="5"/>
        <v/>
      </c>
      <c r="C47" s="470">
        <f>IF(D11="","-",+C46+1)</f>
        <v>2041</v>
      </c>
      <c r="D47" s="483">
        <f>IF(F46+SUM(E$17:E46)=D$10,F46,D$10-SUM(E$17:E46))</f>
        <v>406427.35034138174</v>
      </c>
      <c r="E47" s="482">
        <f>IF(+I14&lt;F46,I14,D47)</f>
        <v>36002.554358974354</v>
      </c>
      <c r="F47" s="483">
        <f t="shared" si="21"/>
        <v>370424.79598240741</v>
      </c>
      <c r="G47" s="484">
        <f t="shared" si="22"/>
        <v>82364.682859317982</v>
      </c>
      <c r="H47" s="453">
        <f t="shared" si="23"/>
        <v>82364.682859317982</v>
      </c>
      <c r="I47" s="473">
        <f t="shared" si="6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 ht="12.5">
      <c r="B48" s="160" t="str">
        <f t="shared" si="5"/>
        <v/>
      </c>
      <c r="C48" s="470">
        <f>IF(D11="","-",+C47+1)</f>
        <v>2042</v>
      </c>
      <c r="D48" s="483">
        <f>IF(F47+SUM(E$17:E47)=D$10,F47,D$10-SUM(E$17:E47))</f>
        <v>370424.79598240741</v>
      </c>
      <c r="E48" s="482">
        <f>IF(+I14&lt;F47,I14,D48)</f>
        <v>36002.554358974354</v>
      </c>
      <c r="F48" s="483">
        <f t="shared" si="21"/>
        <v>334422.24162343307</v>
      </c>
      <c r="G48" s="484">
        <f t="shared" si="22"/>
        <v>78067.455750066554</v>
      </c>
      <c r="H48" s="453">
        <f t="shared" si="23"/>
        <v>78067.455750066554</v>
      </c>
      <c r="I48" s="473">
        <f t="shared" si="6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 ht="12.5">
      <c r="B49" s="160" t="str">
        <f t="shared" si="5"/>
        <v/>
      </c>
      <c r="C49" s="470">
        <f>IF(D11="","-",+C48+1)</f>
        <v>2043</v>
      </c>
      <c r="D49" s="483">
        <f>IF(F48+SUM(E$17:E48)=D$10,F48,D$10-SUM(E$17:E48))</f>
        <v>334422.24162343307</v>
      </c>
      <c r="E49" s="482">
        <f>IF(+I14&lt;F48,I14,D49)</f>
        <v>36002.554358974354</v>
      </c>
      <c r="F49" s="483">
        <f t="shared" si="21"/>
        <v>298419.68726445874</v>
      </c>
      <c r="G49" s="484">
        <f t="shared" si="22"/>
        <v>73770.228640815127</v>
      </c>
      <c r="H49" s="453">
        <f t="shared" si="23"/>
        <v>73770.228640815127</v>
      </c>
      <c r="I49" s="473">
        <f t="shared" ref="I49:I72" si="24">H49-G49</f>
        <v>0</v>
      </c>
      <c r="J49" s="473"/>
      <c r="K49" s="485"/>
      <c r="L49" s="476">
        <f t="shared" ref="L49:L72" si="25">IF(K49&lt;&gt;0,+G49-K49,0)</f>
        <v>0</v>
      </c>
      <c r="M49" s="485"/>
      <c r="N49" s="476">
        <f t="shared" ref="N49:N72" si="26">IF(M49&lt;&gt;0,+H49-M49,0)</f>
        <v>0</v>
      </c>
      <c r="O49" s="476">
        <f t="shared" ref="O49:O72" si="27">+N49-L49</f>
        <v>0</v>
      </c>
      <c r="P49" s="241"/>
    </row>
    <row r="50" spans="2:16" ht="12.5">
      <c r="B50" s="160" t="str">
        <f t="shared" ref="B50:B72" si="28">IF(D50=F49,"","IU")</f>
        <v/>
      </c>
      <c r="C50" s="470">
        <f>IF(D11="","-",+C49+1)</f>
        <v>2044</v>
      </c>
      <c r="D50" s="483">
        <f>IF(F49+SUM(E$17:E49)=D$10,F49,D$10-SUM(E$17:E49))</f>
        <v>298419.68726445874</v>
      </c>
      <c r="E50" s="482">
        <f>IF(+I14&lt;F49,I14,D50)</f>
        <v>36002.554358974354</v>
      </c>
      <c r="F50" s="483">
        <f t="shared" ref="F50:F72" si="29">+D50-E50</f>
        <v>262417.13290548441</v>
      </c>
      <c r="G50" s="484">
        <f t="shared" si="22"/>
        <v>69473.00153156367</v>
      </c>
      <c r="H50" s="453">
        <f t="shared" si="23"/>
        <v>69473.00153156367</v>
      </c>
      <c r="I50" s="473">
        <f t="shared" si="24"/>
        <v>0</v>
      </c>
      <c r="J50" s="473"/>
      <c r="K50" s="485"/>
      <c r="L50" s="476">
        <f t="shared" si="25"/>
        <v>0</v>
      </c>
      <c r="M50" s="485"/>
      <c r="N50" s="476">
        <f t="shared" si="26"/>
        <v>0</v>
      </c>
      <c r="O50" s="476">
        <f t="shared" si="27"/>
        <v>0</v>
      </c>
      <c r="P50" s="241"/>
    </row>
    <row r="51" spans="2:16" ht="12.5">
      <c r="B51" s="160" t="str">
        <f t="shared" si="28"/>
        <v/>
      </c>
      <c r="C51" s="470">
        <f>IF(D11="","-",+C50+1)</f>
        <v>2045</v>
      </c>
      <c r="D51" s="483">
        <f>IF(F50+SUM(E$17:E50)=D$10,F50,D$10-SUM(E$17:E50))</f>
        <v>262417.13290548441</v>
      </c>
      <c r="E51" s="482">
        <f>IF(+I14&lt;F50,I14,D51)</f>
        <v>36002.554358974354</v>
      </c>
      <c r="F51" s="483">
        <f t="shared" si="29"/>
        <v>226414.57854651005</v>
      </c>
      <c r="G51" s="484">
        <f t="shared" si="22"/>
        <v>65175.774422312243</v>
      </c>
      <c r="H51" s="453">
        <f t="shared" si="23"/>
        <v>65175.774422312243</v>
      </c>
      <c r="I51" s="473">
        <f t="shared" si="24"/>
        <v>0</v>
      </c>
      <c r="J51" s="473"/>
      <c r="K51" s="485"/>
      <c r="L51" s="476">
        <f t="shared" si="25"/>
        <v>0</v>
      </c>
      <c r="M51" s="485"/>
      <c r="N51" s="476">
        <f t="shared" si="26"/>
        <v>0</v>
      </c>
      <c r="O51" s="476">
        <f t="shared" si="27"/>
        <v>0</v>
      </c>
      <c r="P51" s="241"/>
    </row>
    <row r="52" spans="2:16" ht="12.5">
      <c r="B52" s="160" t="str">
        <f t="shared" si="28"/>
        <v/>
      </c>
      <c r="C52" s="470">
        <f>IF(D11="","-",+C51+1)</f>
        <v>2046</v>
      </c>
      <c r="D52" s="483">
        <f>IF(F51+SUM(E$17:E51)=D$10,F51,D$10-SUM(E$17:E51))</f>
        <v>226414.57854651005</v>
      </c>
      <c r="E52" s="482">
        <f>IF(+I14&lt;F51,I14,D52)</f>
        <v>36002.554358974354</v>
      </c>
      <c r="F52" s="483">
        <f t="shared" si="29"/>
        <v>190412.02418753569</v>
      </c>
      <c r="G52" s="484">
        <f t="shared" si="22"/>
        <v>60878.547313060801</v>
      </c>
      <c r="H52" s="453">
        <f t="shared" si="23"/>
        <v>60878.547313060801</v>
      </c>
      <c r="I52" s="473">
        <f t="shared" si="24"/>
        <v>0</v>
      </c>
      <c r="J52" s="473"/>
      <c r="K52" s="485"/>
      <c r="L52" s="476">
        <f t="shared" si="25"/>
        <v>0</v>
      </c>
      <c r="M52" s="485"/>
      <c r="N52" s="476">
        <f t="shared" si="26"/>
        <v>0</v>
      </c>
      <c r="O52" s="476">
        <f t="shared" si="27"/>
        <v>0</v>
      </c>
      <c r="P52" s="241"/>
    </row>
    <row r="53" spans="2:16" ht="12.5">
      <c r="B53" s="160" t="str">
        <f t="shared" si="28"/>
        <v/>
      </c>
      <c r="C53" s="470">
        <f>IF(D11="","-",+C52+1)</f>
        <v>2047</v>
      </c>
      <c r="D53" s="483">
        <f>IF(F52+SUM(E$17:E52)=D$10,F52,D$10-SUM(E$17:E52))</f>
        <v>190412.02418753569</v>
      </c>
      <c r="E53" s="482">
        <f>IF(+I14&lt;F52,I14,D53)</f>
        <v>36002.554358974354</v>
      </c>
      <c r="F53" s="483">
        <f t="shared" si="29"/>
        <v>154409.46982856133</v>
      </c>
      <c r="G53" s="484">
        <f t="shared" si="22"/>
        <v>56581.320203809366</v>
      </c>
      <c r="H53" s="453">
        <f t="shared" si="23"/>
        <v>56581.320203809366</v>
      </c>
      <c r="I53" s="473">
        <f t="shared" si="24"/>
        <v>0</v>
      </c>
      <c r="J53" s="473"/>
      <c r="K53" s="485"/>
      <c r="L53" s="476">
        <f t="shared" si="25"/>
        <v>0</v>
      </c>
      <c r="M53" s="485"/>
      <c r="N53" s="476">
        <f t="shared" si="26"/>
        <v>0</v>
      </c>
      <c r="O53" s="476">
        <f t="shared" si="27"/>
        <v>0</v>
      </c>
      <c r="P53" s="241"/>
    </row>
    <row r="54" spans="2:16" ht="12.5">
      <c r="B54" s="160" t="str">
        <f t="shared" si="28"/>
        <v/>
      </c>
      <c r="C54" s="470">
        <f>IF(D11="","-",+C53+1)</f>
        <v>2048</v>
      </c>
      <c r="D54" s="483">
        <f>IF(F53+SUM(E$17:E53)=D$10,F53,D$10-SUM(E$17:E53))</f>
        <v>154409.46982856133</v>
      </c>
      <c r="E54" s="482">
        <f>IF(+I14&lt;F53,I14,D54)</f>
        <v>36002.554358974354</v>
      </c>
      <c r="F54" s="483">
        <f t="shared" si="29"/>
        <v>118406.91546958697</v>
      </c>
      <c r="G54" s="484">
        <f t="shared" si="22"/>
        <v>52284.093094557924</v>
      </c>
      <c r="H54" s="453">
        <f t="shared" si="23"/>
        <v>52284.093094557924</v>
      </c>
      <c r="I54" s="473">
        <f t="shared" si="24"/>
        <v>0</v>
      </c>
      <c r="J54" s="473"/>
      <c r="K54" s="485"/>
      <c r="L54" s="476">
        <f t="shared" si="25"/>
        <v>0</v>
      </c>
      <c r="M54" s="485"/>
      <c r="N54" s="476">
        <f t="shared" si="26"/>
        <v>0</v>
      </c>
      <c r="O54" s="476">
        <f t="shared" si="27"/>
        <v>0</v>
      </c>
      <c r="P54" s="241"/>
    </row>
    <row r="55" spans="2:16" ht="12.5">
      <c r="B55" s="160" t="str">
        <f t="shared" si="28"/>
        <v/>
      </c>
      <c r="C55" s="470">
        <f>IF(D11="","-",+C54+1)</f>
        <v>2049</v>
      </c>
      <c r="D55" s="483">
        <f>IF(F54+SUM(E$17:E54)=D$10,F54,D$10-SUM(E$17:E54))</f>
        <v>118406.91546958697</v>
      </c>
      <c r="E55" s="482">
        <f>IF(+I14&lt;F54,I14,D55)</f>
        <v>36002.554358974354</v>
      </c>
      <c r="F55" s="483">
        <f t="shared" si="29"/>
        <v>82404.361110612605</v>
      </c>
      <c r="G55" s="484">
        <f t="shared" si="22"/>
        <v>47986.865985306489</v>
      </c>
      <c r="H55" s="453">
        <f t="shared" si="23"/>
        <v>47986.865985306489</v>
      </c>
      <c r="I55" s="473">
        <f t="shared" si="24"/>
        <v>0</v>
      </c>
      <c r="J55" s="473"/>
      <c r="K55" s="485"/>
      <c r="L55" s="476">
        <f t="shared" si="25"/>
        <v>0</v>
      </c>
      <c r="M55" s="485"/>
      <c r="N55" s="476">
        <f t="shared" si="26"/>
        <v>0</v>
      </c>
      <c r="O55" s="476">
        <f t="shared" si="27"/>
        <v>0</v>
      </c>
      <c r="P55" s="241"/>
    </row>
    <row r="56" spans="2:16" ht="12.5">
      <c r="B56" s="160" t="str">
        <f t="shared" si="28"/>
        <v/>
      </c>
      <c r="C56" s="470">
        <f>IF(D11="","-",+C55+1)</f>
        <v>2050</v>
      </c>
      <c r="D56" s="483">
        <f>IF(F55+SUM(E$17:E55)=D$10,F55,D$10-SUM(E$17:E55))</f>
        <v>82404.361110612605</v>
      </c>
      <c r="E56" s="482">
        <f>IF(+I14&lt;F55,I14,D56)</f>
        <v>36002.554358974354</v>
      </c>
      <c r="F56" s="483">
        <f t="shared" si="29"/>
        <v>46401.806751638251</v>
      </c>
      <c r="G56" s="484">
        <f t="shared" si="22"/>
        <v>43689.638876055047</v>
      </c>
      <c r="H56" s="453">
        <f t="shared" si="23"/>
        <v>43689.638876055047</v>
      </c>
      <c r="I56" s="473">
        <f t="shared" si="24"/>
        <v>0</v>
      </c>
      <c r="J56" s="473"/>
      <c r="K56" s="485"/>
      <c r="L56" s="476">
        <f t="shared" si="25"/>
        <v>0</v>
      </c>
      <c r="M56" s="485"/>
      <c r="N56" s="476">
        <f t="shared" si="26"/>
        <v>0</v>
      </c>
      <c r="O56" s="476">
        <f t="shared" si="27"/>
        <v>0</v>
      </c>
      <c r="P56" s="241"/>
    </row>
    <row r="57" spans="2:16" ht="12.5">
      <c r="B57" s="160" t="str">
        <f t="shared" si="28"/>
        <v/>
      </c>
      <c r="C57" s="470">
        <f>IF(D11="","-",+C56+1)</f>
        <v>2051</v>
      </c>
      <c r="D57" s="483">
        <f>IF(F56+SUM(E$17:E56)=D$10,F56,D$10-SUM(E$17:E56))</f>
        <v>46401.806751638251</v>
      </c>
      <c r="E57" s="482">
        <f>IF(+I14&lt;F56,I14,D57)</f>
        <v>36002.554358974354</v>
      </c>
      <c r="F57" s="483">
        <f t="shared" si="29"/>
        <v>10399.252392663897</v>
      </c>
      <c r="G57" s="484">
        <f t="shared" si="22"/>
        <v>39392.411766803612</v>
      </c>
      <c r="H57" s="453">
        <f t="shared" si="23"/>
        <v>39392.411766803612</v>
      </c>
      <c r="I57" s="473">
        <f t="shared" si="24"/>
        <v>0</v>
      </c>
      <c r="J57" s="473"/>
      <c r="K57" s="485"/>
      <c r="L57" s="476">
        <f t="shared" si="25"/>
        <v>0</v>
      </c>
      <c r="M57" s="485"/>
      <c r="N57" s="476">
        <f t="shared" si="26"/>
        <v>0</v>
      </c>
      <c r="O57" s="476">
        <f t="shared" si="27"/>
        <v>0</v>
      </c>
      <c r="P57" s="241"/>
    </row>
    <row r="58" spans="2:16" ht="12.5">
      <c r="B58" s="160" t="str">
        <f t="shared" si="28"/>
        <v/>
      </c>
      <c r="C58" s="470">
        <f>IF(D11="","-",+C57+1)</f>
        <v>2052</v>
      </c>
      <c r="D58" s="483">
        <f>IF(F57+SUM(E$17:E57)=D$10,F57,D$10-SUM(E$17:E57))</f>
        <v>10399.252392663897</v>
      </c>
      <c r="E58" s="482">
        <f>IF(+I14&lt;F57,I14,D58)</f>
        <v>10399.252392663897</v>
      </c>
      <c r="F58" s="483">
        <f t="shared" si="29"/>
        <v>0</v>
      </c>
      <c r="G58" s="484">
        <f t="shared" si="22"/>
        <v>11019.874319265666</v>
      </c>
      <c r="H58" s="453">
        <f t="shared" si="23"/>
        <v>11019.874319265666</v>
      </c>
      <c r="I58" s="473">
        <f t="shared" si="24"/>
        <v>0</v>
      </c>
      <c r="J58" s="473"/>
      <c r="K58" s="485"/>
      <c r="L58" s="476">
        <f t="shared" si="25"/>
        <v>0</v>
      </c>
      <c r="M58" s="485"/>
      <c r="N58" s="476">
        <f t="shared" si="26"/>
        <v>0</v>
      </c>
      <c r="O58" s="476">
        <f t="shared" si="27"/>
        <v>0</v>
      </c>
      <c r="P58" s="241"/>
    </row>
    <row r="59" spans="2:16" ht="12.5">
      <c r="B59" s="160" t="str">
        <f t="shared" si="28"/>
        <v/>
      </c>
      <c r="C59" s="470">
        <f>IF(D11="","-",+C58+1)</f>
        <v>2053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9"/>
        <v>0</v>
      </c>
      <c r="G59" s="484">
        <f t="shared" si="22"/>
        <v>0</v>
      </c>
      <c r="H59" s="453">
        <f t="shared" si="23"/>
        <v>0</v>
      </c>
      <c r="I59" s="473">
        <f t="shared" si="24"/>
        <v>0</v>
      </c>
      <c r="J59" s="473"/>
      <c r="K59" s="485"/>
      <c r="L59" s="476">
        <f t="shared" si="25"/>
        <v>0</v>
      </c>
      <c r="M59" s="485"/>
      <c r="N59" s="476">
        <f t="shared" si="26"/>
        <v>0</v>
      </c>
      <c r="O59" s="476">
        <f t="shared" si="27"/>
        <v>0</v>
      </c>
      <c r="P59" s="241"/>
    </row>
    <row r="60" spans="2:16" ht="12.5">
      <c r="B60" s="160" t="str">
        <f t="shared" si="28"/>
        <v/>
      </c>
      <c r="C60" s="470">
        <f>IF(D11="","-",+C59+1)</f>
        <v>2054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9"/>
        <v>0</v>
      </c>
      <c r="G60" s="484">
        <f t="shared" si="22"/>
        <v>0</v>
      </c>
      <c r="H60" s="453">
        <f t="shared" si="23"/>
        <v>0</v>
      </c>
      <c r="I60" s="473">
        <f t="shared" si="24"/>
        <v>0</v>
      </c>
      <c r="J60" s="473"/>
      <c r="K60" s="485"/>
      <c r="L60" s="476">
        <f t="shared" si="25"/>
        <v>0</v>
      </c>
      <c r="M60" s="485"/>
      <c r="N60" s="476">
        <f t="shared" si="26"/>
        <v>0</v>
      </c>
      <c r="O60" s="476">
        <f t="shared" si="27"/>
        <v>0</v>
      </c>
      <c r="P60" s="241"/>
    </row>
    <row r="61" spans="2:16" ht="12.5">
      <c r="B61" s="160" t="str">
        <f t="shared" si="28"/>
        <v/>
      </c>
      <c r="C61" s="470">
        <f>IF(D11="","-",+C60+1)</f>
        <v>2055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9"/>
        <v>0</v>
      </c>
      <c r="G61" s="484">
        <f t="shared" si="22"/>
        <v>0</v>
      </c>
      <c r="H61" s="453">
        <f t="shared" si="23"/>
        <v>0</v>
      </c>
      <c r="I61" s="473">
        <f t="shared" si="24"/>
        <v>0</v>
      </c>
      <c r="J61" s="473"/>
      <c r="K61" s="485"/>
      <c r="L61" s="476">
        <f t="shared" si="25"/>
        <v>0</v>
      </c>
      <c r="M61" s="485"/>
      <c r="N61" s="476">
        <f t="shared" si="26"/>
        <v>0</v>
      </c>
      <c r="O61" s="476">
        <f t="shared" si="27"/>
        <v>0</v>
      </c>
      <c r="P61" s="241"/>
    </row>
    <row r="62" spans="2:16" ht="12.5">
      <c r="B62" s="160" t="str">
        <f t="shared" si="28"/>
        <v/>
      </c>
      <c r="C62" s="470">
        <f>IF(D11="","-",+C61+1)</f>
        <v>2056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9"/>
        <v>0</v>
      </c>
      <c r="G62" s="484">
        <f t="shared" si="22"/>
        <v>0</v>
      </c>
      <c r="H62" s="453">
        <f t="shared" si="23"/>
        <v>0</v>
      </c>
      <c r="I62" s="473">
        <f t="shared" si="24"/>
        <v>0</v>
      </c>
      <c r="J62" s="473"/>
      <c r="K62" s="485"/>
      <c r="L62" s="476">
        <f t="shared" si="25"/>
        <v>0</v>
      </c>
      <c r="M62" s="485"/>
      <c r="N62" s="476">
        <f t="shared" si="26"/>
        <v>0</v>
      </c>
      <c r="O62" s="476">
        <f t="shared" si="27"/>
        <v>0</v>
      </c>
      <c r="P62" s="241"/>
    </row>
    <row r="63" spans="2:16" ht="12.5">
      <c r="B63" s="160" t="str">
        <f t="shared" si="28"/>
        <v/>
      </c>
      <c r="C63" s="470">
        <f>IF(D11="","-",+C62+1)</f>
        <v>2057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9"/>
        <v>0</v>
      </c>
      <c r="G63" s="484">
        <f t="shared" si="22"/>
        <v>0</v>
      </c>
      <c r="H63" s="453">
        <f t="shared" si="23"/>
        <v>0</v>
      </c>
      <c r="I63" s="473">
        <f t="shared" si="24"/>
        <v>0</v>
      </c>
      <c r="J63" s="473"/>
      <c r="K63" s="485"/>
      <c r="L63" s="476">
        <f t="shared" si="25"/>
        <v>0</v>
      </c>
      <c r="M63" s="485"/>
      <c r="N63" s="476">
        <f t="shared" si="26"/>
        <v>0</v>
      </c>
      <c r="O63" s="476">
        <f t="shared" si="27"/>
        <v>0</v>
      </c>
      <c r="P63" s="241"/>
    </row>
    <row r="64" spans="2:16" ht="12.5">
      <c r="B64" s="160" t="str">
        <f t="shared" si="28"/>
        <v/>
      </c>
      <c r="C64" s="470">
        <f>IF(D11="","-",+C63+1)</f>
        <v>2058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9"/>
        <v>0</v>
      </c>
      <c r="G64" s="484">
        <f t="shared" si="22"/>
        <v>0</v>
      </c>
      <c r="H64" s="453">
        <f t="shared" si="23"/>
        <v>0</v>
      </c>
      <c r="I64" s="473">
        <f t="shared" si="24"/>
        <v>0</v>
      </c>
      <c r="J64" s="473"/>
      <c r="K64" s="485"/>
      <c r="L64" s="476">
        <f t="shared" si="25"/>
        <v>0</v>
      </c>
      <c r="M64" s="485"/>
      <c r="N64" s="476">
        <f t="shared" si="26"/>
        <v>0</v>
      </c>
      <c r="O64" s="476">
        <f t="shared" si="27"/>
        <v>0</v>
      </c>
      <c r="P64" s="241"/>
    </row>
    <row r="65" spans="2:16" ht="12.5">
      <c r="B65" s="160" t="str">
        <f t="shared" si="28"/>
        <v/>
      </c>
      <c r="C65" s="470">
        <f>IF(D11="","-",+C64+1)</f>
        <v>2059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9"/>
        <v>0</v>
      </c>
      <c r="G65" s="484">
        <f t="shared" si="22"/>
        <v>0</v>
      </c>
      <c r="H65" s="453">
        <f t="shared" si="23"/>
        <v>0</v>
      </c>
      <c r="I65" s="473">
        <f t="shared" si="24"/>
        <v>0</v>
      </c>
      <c r="J65" s="473"/>
      <c r="K65" s="485"/>
      <c r="L65" s="476">
        <f t="shared" si="25"/>
        <v>0</v>
      </c>
      <c r="M65" s="485"/>
      <c r="N65" s="476">
        <f t="shared" si="26"/>
        <v>0</v>
      </c>
      <c r="O65" s="476">
        <f t="shared" si="27"/>
        <v>0</v>
      </c>
      <c r="P65" s="241"/>
    </row>
    <row r="66" spans="2:16" ht="12.5">
      <c r="B66" s="160" t="str">
        <f t="shared" si="28"/>
        <v/>
      </c>
      <c r="C66" s="470">
        <f>IF(D11="","-",+C65+1)</f>
        <v>2060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9"/>
        <v>0</v>
      </c>
      <c r="G66" s="484">
        <f t="shared" si="22"/>
        <v>0</v>
      </c>
      <c r="H66" s="453">
        <f t="shared" si="23"/>
        <v>0</v>
      </c>
      <c r="I66" s="473">
        <f t="shared" si="24"/>
        <v>0</v>
      </c>
      <c r="J66" s="473"/>
      <c r="K66" s="485"/>
      <c r="L66" s="476">
        <f t="shared" si="25"/>
        <v>0</v>
      </c>
      <c r="M66" s="485"/>
      <c r="N66" s="476">
        <f t="shared" si="26"/>
        <v>0</v>
      </c>
      <c r="O66" s="476">
        <f t="shared" si="27"/>
        <v>0</v>
      </c>
      <c r="P66" s="241"/>
    </row>
    <row r="67" spans="2:16" ht="12.5">
      <c r="B67" s="160" t="str">
        <f t="shared" si="28"/>
        <v/>
      </c>
      <c r="C67" s="470">
        <f>IF(D11="","-",+C66+1)</f>
        <v>2061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9"/>
        <v>0</v>
      </c>
      <c r="G67" s="484">
        <f t="shared" si="22"/>
        <v>0</v>
      </c>
      <c r="H67" s="453">
        <f t="shared" si="23"/>
        <v>0</v>
      </c>
      <c r="I67" s="473">
        <f t="shared" si="24"/>
        <v>0</v>
      </c>
      <c r="J67" s="473"/>
      <c r="K67" s="485"/>
      <c r="L67" s="476">
        <f t="shared" si="25"/>
        <v>0</v>
      </c>
      <c r="M67" s="485"/>
      <c r="N67" s="476">
        <f t="shared" si="26"/>
        <v>0</v>
      </c>
      <c r="O67" s="476">
        <f t="shared" si="27"/>
        <v>0</v>
      </c>
      <c r="P67" s="241"/>
    </row>
    <row r="68" spans="2:16" ht="12.5">
      <c r="B68" s="160" t="str">
        <f t="shared" si="28"/>
        <v/>
      </c>
      <c r="C68" s="470">
        <f>IF(D11="","-",+C67+1)</f>
        <v>2062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9"/>
        <v>0</v>
      </c>
      <c r="G68" s="484">
        <f t="shared" si="22"/>
        <v>0</v>
      </c>
      <c r="H68" s="453">
        <f t="shared" si="23"/>
        <v>0</v>
      </c>
      <c r="I68" s="473">
        <f t="shared" si="24"/>
        <v>0</v>
      </c>
      <c r="J68" s="473"/>
      <c r="K68" s="485"/>
      <c r="L68" s="476">
        <f t="shared" si="25"/>
        <v>0</v>
      </c>
      <c r="M68" s="485"/>
      <c r="N68" s="476">
        <f t="shared" si="26"/>
        <v>0</v>
      </c>
      <c r="O68" s="476">
        <f t="shared" si="27"/>
        <v>0</v>
      </c>
      <c r="P68" s="241"/>
    </row>
    <row r="69" spans="2:16" ht="12.5">
      <c r="B69" s="160" t="str">
        <f t="shared" si="28"/>
        <v/>
      </c>
      <c r="C69" s="470">
        <f>IF(D11="","-",+C68+1)</f>
        <v>2063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9"/>
        <v>0</v>
      </c>
      <c r="G69" s="484">
        <f t="shared" si="22"/>
        <v>0</v>
      </c>
      <c r="H69" s="453">
        <f t="shared" si="23"/>
        <v>0</v>
      </c>
      <c r="I69" s="473">
        <f t="shared" si="24"/>
        <v>0</v>
      </c>
      <c r="J69" s="473"/>
      <c r="K69" s="485"/>
      <c r="L69" s="476">
        <f t="shared" si="25"/>
        <v>0</v>
      </c>
      <c r="M69" s="485"/>
      <c r="N69" s="476">
        <f t="shared" si="26"/>
        <v>0</v>
      </c>
      <c r="O69" s="476">
        <f t="shared" si="27"/>
        <v>0</v>
      </c>
      <c r="P69" s="241"/>
    </row>
    <row r="70" spans="2:16" ht="12.5">
      <c r="B70" s="160" t="str">
        <f t="shared" si="28"/>
        <v/>
      </c>
      <c r="C70" s="470">
        <f>IF(D11="","-",+C69+1)</f>
        <v>2064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9"/>
        <v>0</v>
      </c>
      <c r="G70" s="484">
        <f t="shared" si="22"/>
        <v>0</v>
      </c>
      <c r="H70" s="453">
        <f t="shared" si="23"/>
        <v>0</v>
      </c>
      <c r="I70" s="473">
        <f t="shared" si="24"/>
        <v>0</v>
      </c>
      <c r="J70" s="473"/>
      <c r="K70" s="485"/>
      <c r="L70" s="476">
        <f t="shared" si="25"/>
        <v>0</v>
      </c>
      <c r="M70" s="485"/>
      <c r="N70" s="476">
        <f t="shared" si="26"/>
        <v>0</v>
      </c>
      <c r="O70" s="476">
        <f t="shared" si="27"/>
        <v>0</v>
      </c>
      <c r="P70" s="241"/>
    </row>
    <row r="71" spans="2:16" ht="12.5">
      <c r="B71" s="160" t="str">
        <f t="shared" si="28"/>
        <v/>
      </c>
      <c r="C71" s="470">
        <f>IF(D11="","-",+C70+1)</f>
        <v>2065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9"/>
        <v>0</v>
      </c>
      <c r="G71" s="484">
        <f t="shared" si="22"/>
        <v>0</v>
      </c>
      <c r="H71" s="453">
        <f t="shared" si="23"/>
        <v>0</v>
      </c>
      <c r="I71" s="473">
        <f t="shared" si="24"/>
        <v>0</v>
      </c>
      <c r="J71" s="473"/>
      <c r="K71" s="485"/>
      <c r="L71" s="476">
        <f t="shared" si="25"/>
        <v>0</v>
      </c>
      <c r="M71" s="485"/>
      <c r="N71" s="476">
        <f t="shared" si="26"/>
        <v>0</v>
      </c>
      <c r="O71" s="476">
        <f t="shared" si="27"/>
        <v>0</v>
      </c>
      <c r="P71" s="241"/>
    </row>
    <row r="72" spans="2:16" ht="13" thickBot="1">
      <c r="B72" s="160" t="str">
        <f t="shared" si="28"/>
        <v/>
      </c>
      <c r="C72" s="487">
        <f>IF(D11="","-",+C71+1)</f>
        <v>2066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9"/>
        <v>0</v>
      </c>
      <c r="G72" s="488">
        <f t="shared" si="22"/>
        <v>0</v>
      </c>
      <c r="H72" s="488">
        <f t="shared" si="23"/>
        <v>0</v>
      </c>
      <c r="I72" s="491">
        <f t="shared" si="24"/>
        <v>0</v>
      </c>
      <c r="J72" s="473"/>
      <c r="K72" s="492"/>
      <c r="L72" s="493">
        <f t="shared" si="25"/>
        <v>0</v>
      </c>
      <c r="M72" s="492"/>
      <c r="N72" s="493">
        <f t="shared" si="26"/>
        <v>0</v>
      </c>
      <c r="O72" s="493">
        <f t="shared" si="27"/>
        <v>0</v>
      </c>
      <c r="P72" s="241"/>
    </row>
    <row r="73" spans="2:16" ht="12.5">
      <c r="C73" s="345" t="s">
        <v>77</v>
      </c>
      <c r="D73" s="346"/>
      <c r="E73" s="346">
        <f>SUM(E17:E72)</f>
        <v>1404099.6199999996</v>
      </c>
      <c r="F73" s="346"/>
      <c r="G73" s="346">
        <f>SUM(G17:G72)</f>
        <v>5198685.133698645</v>
      </c>
      <c r="H73" s="346">
        <f>SUM(H17:H72)</f>
        <v>5198685.133698645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11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157566.55435897436</v>
      </c>
      <c r="N87" s="506">
        <f>IF(J92&lt;D11,0,VLOOKUP(J92,C17:O72,11))</f>
        <v>157566.55435897436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154285.01353576343</v>
      </c>
      <c r="N88" s="510">
        <f>IF(J92&lt;D11,0,VLOOKUP(J92,C99:P154,7))</f>
        <v>154285.01353576343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Bartlesville SE to Coffeyville T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-3281.540823210933</v>
      </c>
      <c r="N89" s="515">
        <f>+N88-N87</f>
        <v>-3281.540823210933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TP2008079-PSO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1404099.6199999999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2011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36950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2011</v>
      </c>
      <c r="D99" s="471">
        <v>0</v>
      </c>
      <c r="E99" s="478">
        <v>13815</v>
      </c>
      <c r="F99" s="571">
        <v>1422922</v>
      </c>
      <c r="G99" s="535">
        <v>711461</v>
      </c>
      <c r="H99" s="537">
        <v>113286.80836539247</v>
      </c>
      <c r="I99" s="537">
        <v>113286.80836539247</v>
      </c>
      <c r="J99" s="476">
        <f t="shared" ref="J99:J130" si="30">+I99-H99</f>
        <v>0</v>
      </c>
      <c r="K99" s="572"/>
      <c r="L99" s="565">
        <f t="shared" ref="L99:L104" si="31">H99</f>
        <v>113286.80836539247</v>
      </c>
      <c r="M99" s="573">
        <f t="shared" ref="M99:M130" si="32">IF(L99&lt;&gt;0,+H99-L99,0)</f>
        <v>0</v>
      </c>
      <c r="N99" s="565">
        <f t="shared" ref="N99:N104" si="33">I99</f>
        <v>113286.80836539247</v>
      </c>
      <c r="O99" s="475">
        <f t="shared" ref="O99:O130" si="34">IF(N99&lt;&gt;0,+I99-N99,0)</f>
        <v>0</v>
      </c>
      <c r="P99" s="347">
        <f t="shared" ref="P99:P130" si="35">+O99-M99</f>
        <v>0</v>
      </c>
    </row>
    <row r="100" spans="1:16" ht="12.5">
      <c r="B100" s="160" t="str">
        <f t="shared" ref="B100:B131" si="36">IF(D100=F99,"","IU")</f>
        <v>IU</v>
      </c>
      <c r="C100" s="470">
        <f>IF(D93="","-",+C99+1)</f>
        <v>2012</v>
      </c>
      <c r="D100" s="471">
        <v>1479908</v>
      </c>
      <c r="E100" s="478">
        <v>28725</v>
      </c>
      <c r="F100" s="571">
        <v>1451183</v>
      </c>
      <c r="G100" s="477">
        <v>1465545.5</v>
      </c>
      <c r="H100" s="537">
        <v>239551.75399863988</v>
      </c>
      <c r="I100" s="537">
        <v>239551.75399863988</v>
      </c>
      <c r="J100" s="476">
        <v>0</v>
      </c>
      <c r="K100" s="572"/>
      <c r="L100" s="538">
        <f t="shared" si="31"/>
        <v>239551.75399863988</v>
      </c>
      <c r="M100" s="573">
        <f t="shared" ref="M100:M105" si="37">IF(L100&lt;&gt;0,+H100-L100,0)</f>
        <v>0</v>
      </c>
      <c r="N100" s="538">
        <f t="shared" si="33"/>
        <v>239551.75399863988</v>
      </c>
      <c r="O100" s="476">
        <f t="shared" ref="O100:O105" si="38">IF(N100&lt;&gt;0,+I100-N100,0)</f>
        <v>0</v>
      </c>
      <c r="P100" s="347">
        <f t="shared" ref="P100:P105" si="39">+O100-M100</f>
        <v>0</v>
      </c>
    </row>
    <row r="101" spans="1:16" ht="12.5">
      <c r="B101" s="160" t="str">
        <f t="shared" si="36"/>
        <v/>
      </c>
      <c r="C101" s="470">
        <f>IF(D93="","-",+C100+1)</f>
        <v>2013</v>
      </c>
      <c r="D101" s="471">
        <v>1451183</v>
      </c>
      <c r="E101" s="478">
        <v>28725</v>
      </c>
      <c r="F101" s="571">
        <v>1422458</v>
      </c>
      <c r="G101" s="477">
        <v>1436820.5</v>
      </c>
      <c r="H101" s="537">
        <v>235540.35933406017</v>
      </c>
      <c r="I101" s="537">
        <v>235540.35933406017</v>
      </c>
      <c r="J101" s="476">
        <v>0</v>
      </c>
      <c r="K101" s="572"/>
      <c r="L101" s="538">
        <f t="shared" si="31"/>
        <v>235540.35933406017</v>
      </c>
      <c r="M101" s="573">
        <f t="shared" si="37"/>
        <v>0</v>
      </c>
      <c r="N101" s="538">
        <f t="shared" si="33"/>
        <v>235540.35933406017</v>
      </c>
      <c r="O101" s="476">
        <f t="shared" si="38"/>
        <v>0</v>
      </c>
      <c r="P101" s="347">
        <f t="shared" si="39"/>
        <v>0</v>
      </c>
    </row>
    <row r="102" spans="1:16" ht="12.5">
      <c r="B102" s="160" t="str">
        <f t="shared" si="36"/>
        <v>IU</v>
      </c>
      <c r="C102" s="470">
        <f>IF(D93="","-",+C101+1)</f>
        <v>2014</v>
      </c>
      <c r="D102" s="471">
        <v>1332834.6199999999</v>
      </c>
      <c r="E102" s="478">
        <v>27002</v>
      </c>
      <c r="F102" s="571">
        <v>1305832.6199999999</v>
      </c>
      <c r="G102" s="477">
        <v>1319333.6199999999</v>
      </c>
      <c r="H102" s="537">
        <v>212494.91385632072</v>
      </c>
      <c r="I102" s="537">
        <v>212494.91385632072</v>
      </c>
      <c r="J102" s="476">
        <v>0</v>
      </c>
      <c r="K102" s="572"/>
      <c r="L102" s="538">
        <f t="shared" si="31"/>
        <v>212494.91385632072</v>
      </c>
      <c r="M102" s="573">
        <f t="shared" si="37"/>
        <v>0</v>
      </c>
      <c r="N102" s="538">
        <f t="shared" si="33"/>
        <v>212494.91385632072</v>
      </c>
      <c r="O102" s="476">
        <f t="shared" si="38"/>
        <v>0</v>
      </c>
      <c r="P102" s="347">
        <f t="shared" si="39"/>
        <v>0</v>
      </c>
    </row>
    <row r="103" spans="1:16" ht="12.5">
      <c r="B103" s="160" t="str">
        <f t="shared" si="36"/>
        <v/>
      </c>
      <c r="C103" s="470">
        <f>IF(D93="","-",+C102+1)</f>
        <v>2015</v>
      </c>
      <c r="D103" s="471">
        <v>1305832.6199999999</v>
      </c>
      <c r="E103" s="478">
        <v>27002</v>
      </c>
      <c r="F103" s="571">
        <v>1278830.6199999999</v>
      </c>
      <c r="G103" s="477">
        <v>1292331.6199999999</v>
      </c>
      <c r="H103" s="537">
        <v>203330.25869072074</v>
      </c>
      <c r="I103" s="537">
        <v>203330.25869072074</v>
      </c>
      <c r="J103" s="476">
        <f t="shared" si="30"/>
        <v>0</v>
      </c>
      <c r="K103" s="572"/>
      <c r="L103" s="538">
        <f t="shared" si="31"/>
        <v>203330.25869072074</v>
      </c>
      <c r="M103" s="573">
        <f t="shared" si="37"/>
        <v>0</v>
      </c>
      <c r="N103" s="538">
        <f t="shared" si="33"/>
        <v>203330.25869072074</v>
      </c>
      <c r="O103" s="476">
        <f t="shared" si="38"/>
        <v>0</v>
      </c>
      <c r="P103" s="347">
        <f t="shared" si="39"/>
        <v>0</v>
      </c>
    </row>
    <row r="104" spans="1:16" ht="12.5">
      <c r="B104" s="160" t="str">
        <f t="shared" si="36"/>
        <v/>
      </c>
      <c r="C104" s="470">
        <f>IF(D93="","-",+C103+1)</f>
        <v>2016</v>
      </c>
      <c r="D104" s="471">
        <v>1278830.6199999999</v>
      </c>
      <c r="E104" s="478">
        <v>30524</v>
      </c>
      <c r="F104" s="571">
        <v>1248306.6199999999</v>
      </c>
      <c r="G104" s="477">
        <v>1263568.6199999999</v>
      </c>
      <c r="H104" s="537">
        <v>193417.89490142919</v>
      </c>
      <c r="I104" s="537">
        <v>193417.89490142919</v>
      </c>
      <c r="J104" s="476">
        <f t="shared" si="30"/>
        <v>0</v>
      </c>
      <c r="K104" s="476"/>
      <c r="L104" s="538">
        <f t="shared" si="31"/>
        <v>193417.89490142919</v>
      </c>
      <c r="M104" s="573">
        <f t="shared" si="37"/>
        <v>0</v>
      </c>
      <c r="N104" s="538">
        <f t="shared" si="33"/>
        <v>193417.89490142919</v>
      </c>
      <c r="O104" s="476">
        <f t="shared" si="38"/>
        <v>0</v>
      </c>
      <c r="P104" s="347">
        <f t="shared" si="39"/>
        <v>0</v>
      </c>
    </row>
    <row r="105" spans="1:16" ht="12.5">
      <c r="B105" s="160" t="str">
        <f t="shared" si="36"/>
        <v/>
      </c>
      <c r="C105" s="470">
        <f>IF(D93="","-",+C104+1)</f>
        <v>2017</v>
      </c>
      <c r="D105" s="471">
        <v>1248306.6199999999</v>
      </c>
      <c r="E105" s="478">
        <v>30524</v>
      </c>
      <c r="F105" s="571">
        <v>1217782.6199999999</v>
      </c>
      <c r="G105" s="477">
        <v>1233044.6199999999</v>
      </c>
      <c r="H105" s="537">
        <v>186938.81917011391</v>
      </c>
      <c r="I105" s="537">
        <v>186938.81917011391</v>
      </c>
      <c r="J105" s="476">
        <f t="shared" si="30"/>
        <v>0</v>
      </c>
      <c r="K105" s="476"/>
      <c r="L105" s="538">
        <f t="shared" ref="L105:L110" si="40">H105</f>
        <v>186938.81917011391</v>
      </c>
      <c r="M105" s="573">
        <f t="shared" si="37"/>
        <v>0</v>
      </c>
      <c r="N105" s="538">
        <f t="shared" ref="N105:N110" si="41">I105</f>
        <v>186938.81917011391</v>
      </c>
      <c r="O105" s="476">
        <f t="shared" si="38"/>
        <v>0</v>
      </c>
      <c r="P105" s="347">
        <f t="shared" si="39"/>
        <v>0</v>
      </c>
    </row>
    <row r="106" spans="1:16" ht="12.5">
      <c r="B106" s="160" t="str">
        <f t="shared" si="36"/>
        <v/>
      </c>
      <c r="C106" s="470">
        <f>IF(D93="","-",+C105+1)</f>
        <v>2018</v>
      </c>
      <c r="D106" s="471">
        <v>1217782.6199999999</v>
      </c>
      <c r="E106" s="478">
        <v>32653</v>
      </c>
      <c r="F106" s="571">
        <v>1185129.6199999999</v>
      </c>
      <c r="G106" s="477">
        <v>1201456.1199999999</v>
      </c>
      <c r="H106" s="537">
        <v>156085.27550586959</v>
      </c>
      <c r="I106" s="537">
        <v>156085.27550586959</v>
      </c>
      <c r="J106" s="476">
        <f t="shared" si="30"/>
        <v>0</v>
      </c>
      <c r="K106" s="476"/>
      <c r="L106" s="538">
        <f t="shared" si="40"/>
        <v>156085.27550586959</v>
      </c>
      <c r="M106" s="573">
        <f t="shared" ref="M106" si="42">IF(L106&lt;&gt;0,+H106-L106,0)</f>
        <v>0</v>
      </c>
      <c r="N106" s="538">
        <f t="shared" si="41"/>
        <v>156085.27550586959</v>
      </c>
      <c r="O106" s="476">
        <f t="shared" ref="O106" si="43">IF(N106&lt;&gt;0,+I106-N106,0)</f>
        <v>0</v>
      </c>
      <c r="P106" s="347">
        <f t="shared" ref="P106" si="44">+O106-M106</f>
        <v>0</v>
      </c>
    </row>
    <row r="107" spans="1:16" ht="12.5">
      <c r="B107" s="160" t="str">
        <f t="shared" si="36"/>
        <v/>
      </c>
      <c r="C107" s="470">
        <f>IF(D93="","-",+C106+1)</f>
        <v>2019</v>
      </c>
      <c r="D107" s="471">
        <v>1185129.6199999999</v>
      </c>
      <c r="E107" s="478">
        <v>34246</v>
      </c>
      <c r="F107" s="571">
        <v>1150883.6199999999</v>
      </c>
      <c r="G107" s="477">
        <v>1168006.6199999999</v>
      </c>
      <c r="H107" s="537">
        <v>154683.86507702887</v>
      </c>
      <c r="I107" s="537">
        <v>154683.86507702887</v>
      </c>
      <c r="J107" s="476">
        <f t="shared" si="30"/>
        <v>0</v>
      </c>
      <c r="K107" s="476"/>
      <c r="L107" s="538">
        <f t="shared" si="40"/>
        <v>154683.86507702887</v>
      </c>
      <c r="M107" s="573">
        <f t="shared" ref="M107" si="45">IF(L107&lt;&gt;0,+H107-L107,0)</f>
        <v>0</v>
      </c>
      <c r="N107" s="538">
        <f t="shared" si="41"/>
        <v>154683.86507702887</v>
      </c>
      <c r="O107" s="476">
        <f t="shared" si="34"/>
        <v>0</v>
      </c>
      <c r="P107" s="473">
        <f t="shared" si="35"/>
        <v>0</v>
      </c>
    </row>
    <row r="108" spans="1:16" ht="12.5">
      <c r="B108" s="160" t="str">
        <f t="shared" si="36"/>
        <v/>
      </c>
      <c r="C108" s="470">
        <f>IF(D93="","-",+C107+1)</f>
        <v>2020</v>
      </c>
      <c r="D108" s="471">
        <v>1150883.6199999999</v>
      </c>
      <c r="E108" s="478">
        <v>32653</v>
      </c>
      <c r="F108" s="571">
        <v>1118230.6199999999</v>
      </c>
      <c r="G108" s="477">
        <v>1134557.1199999999</v>
      </c>
      <c r="H108" s="537">
        <v>163464.31672839285</v>
      </c>
      <c r="I108" s="537">
        <v>163464.31672839285</v>
      </c>
      <c r="J108" s="476">
        <f t="shared" si="30"/>
        <v>0</v>
      </c>
      <c r="K108" s="476"/>
      <c r="L108" s="538">
        <f t="shared" si="40"/>
        <v>163464.31672839285</v>
      </c>
      <c r="M108" s="573">
        <f t="shared" ref="M108" si="46">IF(L108&lt;&gt;0,+H108-L108,0)</f>
        <v>0</v>
      </c>
      <c r="N108" s="538">
        <f t="shared" si="41"/>
        <v>163464.31672839285</v>
      </c>
      <c r="O108" s="476">
        <f t="shared" si="34"/>
        <v>0</v>
      </c>
      <c r="P108" s="473">
        <f t="shared" si="35"/>
        <v>0</v>
      </c>
    </row>
    <row r="109" spans="1:16" ht="12.5">
      <c r="B109" s="160" t="str">
        <f t="shared" si="36"/>
        <v/>
      </c>
      <c r="C109" s="470">
        <f>IF(D93="","-",+C108+1)</f>
        <v>2021</v>
      </c>
      <c r="D109" s="471">
        <v>1118230.6199999999</v>
      </c>
      <c r="E109" s="478">
        <v>34246</v>
      </c>
      <c r="F109" s="571">
        <v>1083984.6199999999</v>
      </c>
      <c r="G109" s="477">
        <v>1101107.6199999999</v>
      </c>
      <c r="H109" s="537">
        <v>159544.11150802768</v>
      </c>
      <c r="I109" s="537">
        <v>159544.11150802768</v>
      </c>
      <c r="J109" s="476">
        <f t="shared" si="30"/>
        <v>0</v>
      </c>
      <c r="K109" s="476"/>
      <c r="L109" s="538">
        <f t="shared" si="40"/>
        <v>159544.11150802768</v>
      </c>
      <c r="M109" s="573">
        <f t="shared" ref="M109" si="47">IF(L109&lt;&gt;0,+H109-L109,0)</f>
        <v>0</v>
      </c>
      <c r="N109" s="538">
        <f t="shared" si="41"/>
        <v>159544.11150802768</v>
      </c>
      <c r="O109" s="476">
        <f t="shared" si="34"/>
        <v>0</v>
      </c>
      <c r="P109" s="476">
        <f t="shared" si="35"/>
        <v>0</v>
      </c>
    </row>
    <row r="110" spans="1:16" ht="12.5">
      <c r="B110" s="160" t="str">
        <f t="shared" si="36"/>
        <v>IU</v>
      </c>
      <c r="C110" s="470">
        <f>IF(D93="","-",+C109+1)</f>
        <v>2022</v>
      </c>
      <c r="D110" s="471">
        <v>1173608</v>
      </c>
      <c r="E110" s="478">
        <v>38301</v>
      </c>
      <c r="F110" s="571">
        <v>1135307</v>
      </c>
      <c r="G110" s="477">
        <v>1154457.5</v>
      </c>
      <c r="H110" s="537">
        <v>165502.18998219044</v>
      </c>
      <c r="I110" s="537">
        <v>165502.18998219044</v>
      </c>
      <c r="J110" s="476">
        <f t="shared" si="30"/>
        <v>0</v>
      </c>
      <c r="K110" s="476"/>
      <c r="L110" s="538">
        <f t="shared" si="40"/>
        <v>165502.18998219044</v>
      </c>
      <c r="M110" s="573">
        <f t="shared" ref="M110" si="48">IF(L110&lt;&gt;0,+H110-L110,0)</f>
        <v>0</v>
      </c>
      <c r="N110" s="538">
        <f t="shared" si="41"/>
        <v>165502.18998219044</v>
      </c>
      <c r="O110" s="476">
        <f t="shared" ref="O110" si="49">IF(N110&lt;&gt;0,+I110-N110,0)</f>
        <v>0</v>
      </c>
      <c r="P110" s="476">
        <f t="shared" ref="P110" si="50">+O110-M110</f>
        <v>0</v>
      </c>
    </row>
    <row r="111" spans="1:16" ht="12.5">
      <c r="B111" s="160" t="str">
        <f t="shared" si="36"/>
        <v>IU</v>
      </c>
      <c r="C111" s="470">
        <f>IF(D93="","-",+C110+1)</f>
        <v>2023</v>
      </c>
      <c r="D111" s="345">
        <f>IF(F110+SUM(E$99:E110)=D$92,F110,D$92-SUM(E$99:E110))</f>
        <v>1045683.6199999999</v>
      </c>
      <c r="E111" s="484">
        <f>IF(+J96&lt;F110,J96,D111)</f>
        <v>36950</v>
      </c>
      <c r="F111" s="483">
        <f t="shared" ref="F111:F130" si="51">+D111-E111</f>
        <v>1008733.6199999999</v>
      </c>
      <c r="G111" s="483">
        <f t="shared" ref="G111:G130" si="52">+(F111+D111)/2</f>
        <v>1027208.6199999999</v>
      </c>
      <c r="H111" s="484">
        <f t="shared" ref="H111:H153" si="53">(D111+F111)/2*J$94+E111</f>
        <v>154285.01353576343</v>
      </c>
      <c r="I111" s="540">
        <f t="shared" ref="I111:I153" si="54">+J$95*G111+E111</f>
        <v>154285.01353576343</v>
      </c>
      <c r="J111" s="476">
        <f t="shared" si="30"/>
        <v>0</v>
      </c>
      <c r="K111" s="476"/>
      <c r="L111" s="485"/>
      <c r="M111" s="476">
        <f t="shared" si="32"/>
        <v>0</v>
      </c>
      <c r="N111" s="485"/>
      <c r="O111" s="476">
        <f t="shared" si="34"/>
        <v>0</v>
      </c>
      <c r="P111" s="476">
        <f t="shared" si="35"/>
        <v>0</v>
      </c>
    </row>
    <row r="112" spans="1:16" ht="12.5">
      <c r="B112" s="160" t="str">
        <f t="shared" si="36"/>
        <v/>
      </c>
      <c r="C112" s="470">
        <f>IF(D93="","-",+C111+1)</f>
        <v>2024</v>
      </c>
      <c r="D112" s="345">
        <f>IF(F111+SUM(E$99:E111)=D$92,F111,D$92-SUM(E$99:E111))</f>
        <v>1008733.6199999999</v>
      </c>
      <c r="E112" s="484">
        <f>IF(+J96&lt;F111,J96,D112)</f>
        <v>36950</v>
      </c>
      <c r="F112" s="483">
        <f t="shared" si="51"/>
        <v>971783.61999999988</v>
      </c>
      <c r="G112" s="483">
        <f t="shared" si="52"/>
        <v>990258.61999999988</v>
      </c>
      <c r="H112" s="484">
        <f t="shared" si="53"/>
        <v>150064.3239253643</v>
      </c>
      <c r="I112" s="540">
        <f t="shared" si="54"/>
        <v>150064.3239253643</v>
      </c>
      <c r="J112" s="476">
        <f t="shared" si="30"/>
        <v>0</v>
      </c>
      <c r="K112" s="476"/>
      <c r="L112" s="485"/>
      <c r="M112" s="476">
        <f t="shared" si="32"/>
        <v>0</v>
      </c>
      <c r="N112" s="485"/>
      <c r="O112" s="476">
        <f t="shared" si="34"/>
        <v>0</v>
      </c>
      <c r="P112" s="476">
        <f t="shared" si="35"/>
        <v>0</v>
      </c>
    </row>
    <row r="113" spans="2:16" ht="12.5">
      <c r="B113" s="160" t="str">
        <f t="shared" si="36"/>
        <v/>
      </c>
      <c r="C113" s="470">
        <f>IF(D93="","-",+C112+1)</f>
        <v>2025</v>
      </c>
      <c r="D113" s="345">
        <f>IF(F112+SUM(E$99:E112)=D$92,F112,D$92-SUM(E$99:E112))</f>
        <v>971783.61999999988</v>
      </c>
      <c r="E113" s="484">
        <f>IF(+J96&lt;F112,J96,D113)</f>
        <v>36950</v>
      </c>
      <c r="F113" s="483">
        <f t="shared" si="51"/>
        <v>934833.61999999988</v>
      </c>
      <c r="G113" s="483">
        <f t="shared" si="52"/>
        <v>953308.61999999988</v>
      </c>
      <c r="H113" s="484">
        <f t="shared" si="53"/>
        <v>145843.63431496511</v>
      </c>
      <c r="I113" s="540">
        <f t="shared" si="54"/>
        <v>145843.63431496511</v>
      </c>
      <c r="J113" s="476">
        <f t="shared" si="30"/>
        <v>0</v>
      </c>
      <c r="K113" s="476"/>
      <c r="L113" s="485"/>
      <c r="M113" s="476">
        <f t="shared" si="32"/>
        <v>0</v>
      </c>
      <c r="N113" s="485"/>
      <c r="O113" s="476">
        <f t="shared" si="34"/>
        <v>0</v>
      </c>
      <c r="P113" s="476">
        <f t="shared" si="35"/>
        <v>0</v>
      </c>
    </row>
    <row r="114" spans="2:16" ht="12.5">
      <c r="B114" s="160" t="str">
        <f t="shared" si="36"/>
        <v/>
      </c>
      <c r="C114" s="470">
        <f>IF(D93="","-",+C113+1)</f>
        <v>2026</v>
      </c>
      <c r="D114" s="345">
        <f>IF(F113+SUM(E$99:E113)=D$92,F113,D$92-SUM(E$99:E113))</f>
        <v>934833.61999999988</v>
      </c>
      <c r="E114" s="484">
        <f>IF(+J96&lt;F113,J96,D114)</f>
        <v>36950</v>
      </c>
      <c r="F114" s="483">
        <f t="shared" si="51"/>
        <v>897883.61999999988</v>
      </c>
      <c r="G114" s="483">
        <f t="shared" si="52"/>
        <v>916358.61999999988</v>
      </c>
      <c r="H114" s="484">
        <f t="shared" si="53"/>
        <v>141622.94470456598</v>
      </c>
      <c r="I114" s="540">
        <f t="shared" si="54"/>
        <v>141622.94470456598</v>
      </c>
      <c r="J114" s="476">
        <f t="shared" si="30"/>
        <v>0</v>
      </c>
      <c r="K114" s="476"/>
      <c r="L114" s="485"/>
      <c r="M114" s="476">
        <f t="shared" si="32"/>
        <v>0</v>
      </c>
      <c r="N114" s="485"/>
      <c r="O114" s="476">
        <f t="shared" si="34"/>
        <v>0</v>
      </c>
      <c r="P114" s="476">
        <f t="shared" si="35"/>
        <v>0</v>
      </c>
    </row>
    <row r="115" spans="2:16" ht="12.5">
      <c r="B115" s="160" t="str">
        <f t="shared" si="36"/>
        <v/>
      </c>
      <c r="C115" s="470">
        <f>IF(D93="","-",+C114+1)</f>
        <v>2027</v>
      </c>
      <c r="D115" s="345">
        <f>IF(F114+SUM(E$99:E114)=D$92,F114,D$92-SUM(E$99:E114))</f>
        <v>897883.61999999988</v>
      </c>
      <c r="E115" s="484">
        <f>IF(+J96&lt;F114,J96,D115)</f>
        <v>36950</v>
      </c>
      <c r="F115" s="483">
        <f t="shared" si="51"/>
        <v>860933.61999999988</v>
      </c>
      <c r="G115" s="483">
        <f t="shared" si="52"/>
        <v>879408.61999999988</v>
      </c>
      <c r="H115" s="484">
        <f t="shared" si="53"/>
        <v>137402.25509416679</v>
      </c>
      <c r="I115" s="540">
        <f t="shared" si="54"/>
        <v>137402.25509416679</v>
      </c>
      <c r="J115" s="476">
        <f t="shared" si="30"/>
        <v>0</v>
      </c>
      <c r="K115" s="476"/>
      <c r="L115" s="485"/>
      <c r="M115" s="476">
        <f t="shared" si="32"/>
        <v>0</v>
      </c>
      <c r="N115" s="485"/>
      <c r="O115" s="476">
        <f t="shared" si="34"/>
        <v>0</v>
      </c>
      <c r="P115" s="476">
        <f t="shared" si="35"/>
        <v>0</v>
      </c>
    </row>
    <row r="116" spans="2:16" ht="12.5">
      <c r="B116" s="160" t="str">
        <f t="shared" si="36"/>
        <v/>
      </c>
      <c r="C116" s="470">
        <f>IF(D93="","-",+C115+1)</f>
        <v>2028</v>
      </c>
      <c r="D116" s="345">
        <f>IF(F115+SUM(E$99:E115)=D$92,F115,D$92-SUM(E$99:E115))</f>
        <v>860933.61999999988</v>
      </c>
      <c r="E116" s="484">
        <f>IF(+J96&lt;F115,J96,D116)</f>
        <v>36950</v>
      </c>
      <c r="F116" s="483">
        <f t="shared" si="51"/>
        <v>823983.61999999988</v>
      </c>
      <c r="G116" s="483">
        <f t="shared" si="52"/>
        <v>842458.61999999988</v>
      </c>
      <c r="H116" s="484">
        <f t="shared" si="53"/>
        <v>133181.56548376766</v>
      </c>
      <c r="I116" s="540">
        <f t="shared" si="54"/>
        <v>133181.56548376766</v>
      </c>
      <c r="J116" s="476">
        <f t="shared" si="30"/>
        <v>0</v>
      </c>
      <c r="K116" s="476"/>
      <c r="L116" s="485"/>
      <c r="M116" s="476">
        <f t="shared" si="32"/>
        <v>0</v>
      </c>
      <c r="N116" s="485"/>
      <c r="O116" s="476">
        <f t="shared" si="34"/>
        <v>0</v>
      </c>
      <c r="P116" s="476">
        <f t="shared" si="35"/>
        <v>0</v>
      </c>
    </row>
    <row r="117" spans="2:16" ht="12.5">
      <c r="B117" s="160" t="str">
        <f t="shared" si="36"/>
        <v/>
      </c>
      <c r="C117" s="470">
        <f>IF(D93="","-",+C116+1)</f>
        <v>2029</v>
      </c>
      <c r="D117" s="345">
        <f>IF(F116+SUM(E$99:E116)=D$92,F116,D$92-SUM(E$99:E116))</f>
        <v>823983.61999999988</v>
      </c>
      <c r="E117" s="484">
        <f>IF(+J96&lt;F116,J96,D117)</f>
        <v>36950</v>
      </c>
      <c r="F117" s="483">
        <f t="shared" si="51"/>
        <v>787033.61999999988</v>
      </c>
      <c r="G117" s="483">
        <f t="shared" si="52"/>
        <v>805508.61999999988</v>
      </c>
      <c r="H117" s="484">
        <f t="shared" si="53"/>
        <v>128960.87587336848</v>
      </c>
      <c r="I117" s="540">
        <f t="shared" si="54"/>
        <v>128960.87587336848</v>
      </c>
      <c r="J117" s="476">
        <f t="shared" si="30"/>
        <v>0</v>
      </c>
      <c r="K117" s="476"/>
      <c r="L117" s="485"/>
      <c r="M117" s="476">
        <f t="shared" si="32"/>
        <v>0</v>
      </c>
      <c r="N117" s="485"/>
      <c r="O117" s="476">
        <f t="shared" si="34"/>
        <v>0</v>
      </c>
      <c r="P117" s="476">
        <f t="shared" si="35"/>
        <v>0</v>
      </c>
    </row>
    <row r="118" spans="2:16" ht="12.5">
      <c r="B118" s="160" t="str">
        <f t="shared" si="36"/>
        <v/>
      </c>
      <c r="C118" s="470">
        <f>IF(D93="","-",+C117+1)</f>
        <v>2030</v>
      </c>
      <c r="D118" s="345">
        <f>IF(F117+SUM(E$99:E117)=D$92,F117,D$92-SUM(E$99:E117))</f>
        <v>787033.61999999988</v>
      </c>
      <c r="E118" s="484">
        <f>IF(+J96&lt;F117,J96,D118)</f>
        <v>36950</v>
      </c>
      <c r="F118" s="483">
        <f t="shared" si="51"/>
        <v>750083.61999999988</v>
      </c>
      <c r="G118" s="483">
        <f t="shared" si="52"/>
        <v>768558.61999999988</v>
      </c>
      <c r="H118" s="484">
        <f t="shared" si="53"/>
        <v>124740.18626296932</v>
      </c>
      <c r="I118" s="540">
        <f t="shared" si="54"/>
        <v>124740.18626296932</v>
      </c>
      <c r="J118" s="476">
        <f t="shared" si="30"/>
        <v>0</v>
      </c>
      <c r="K118" s="476"/>
      <c r="L118" s="485"/>
      <c r="M118" s="476">
        <f t="shared" si="32"/>
        <v>0</v>
      </c>
      <c r="N118" s="485"/>
      <c r="O118" s="476">
        <f t="shared" si="34"/>
        <v>0</v>
      </c>
      <c r="P118" s="476">
        <f t="shared" si="35"/>
        <v>0</v>
      </c>
    </row>
    <row r="119" spans="2:16" ht="12.5">
      <c r="B119" s="160" t="str">
        <f t="shared" si="36"/>
        <v/>
      </c>
      <c r="C119" s="470">
        <f>IF(D93="","-",+C118+1)</f>
        <v>2031</v>
      </c>
      <c r="D119" s="345">
        <f>IF(F118+SUM(E$99:E118)=D$92,F118,D$92-SUM(E$99:E118))</f>
        <v>750083.61999999988</v>
      </c>
      <c r="E119" s="484">
        <f>IF(+J96&lt;F118,J96,D119)</f>
        <v>36950</v>
      </c>
      <c r="F119" s="483">
        <f t="shared" si="51"/>
        <v>713133.61999999988</v>
      </c>
      <c r="G119" s="483">
        <f t="shared" si="52"/>
        <v>731608.61999999988</v>
      </c>
      <c r="H119" s="484">
        <f t="shared" si="53"/>
        <v>120519.49665257016</v>
      </c>
      <c r="I119" s="540">
        <f t="shared" si="54"/>
        <v>120519.49665257016</v>
      </c>
      <c r="J119" s="476">
        <f t="shared" si="30"/>
        <v>0</v>
      </c>
      <c r="K119" s="476"/>
      <c r="L119" s="485"/>
      <c r="M119" s="476">
        <f t="shared" si="32"/>
        <v>0</v>
      </c>
      <c r="N119" s="485"/>
      <c r="O119" s="476">
        <f t="shared" si="34"/>
        <v>0</v>
      </c>
      <c r="P119" s="476">
        <f t="shared" si="35"/>
        <v>0</v>
      </c>
    </row>
    <row r="120" spans="2:16" ht="12.5">
      <c r="B120" s="160" t="str">
        <f t="shared" si="36"/>
        <v/>
      </c>
      <c r="C120" s="470">
        <f>IF(D93="","-",+C119+1)</f>
        <v>2032</v>
      </c>
      <c r="D120" s="345">
        <f>IF(F119+SUM(E$99:E119)=D$92,F119,D$92-SUM(E$99:E119))</f>
        <v>713133.61999999988</v>
      </c>
      <c r="E120" s="484">
        <f>IF(+J96&lt;F119,J96,D120)</f>
        <v>36950</v>
      </c>
      <c r="F120" s="483">
        <f t="shared" si="51"/>
        <v>676183.61999999988</v>
      </c>
      <c r="G120" s="483">
        <f t="shared" si="52"/>
        <v>694658.61999999988</v>
      </c>
      <c r="H120" s="484">
        <f t="shared" si="53"/>
        <v>116298.807042171</v>
      </c>
      <c r="I120" s="540">
        <f t="shared" si="54"/>
        <v>116298.807042171</v>
      </c>
      <c r="J120" s="476">
        <f t="shared" si="30"/>
        <v>0</v>
      </c>
      <c r="K120" s="476"/>
      <c r="L120" s="485"/>
      <c r="M120" s="476">
        <f t="shared" si="32"/>
        <v>0</v>
      </c>
      <c r="N120" s="485"/>
      <c r="O120" s="476">
        <f t="shared" si="34"/>
        <v>0</v>
      </c>
      <c r="P120" s="476">
        <f t="shared" si="35"/>
        <v>0</v>
      </c>
    </row>
    <row r="121" spans="2:16" ht="12.5">
      <c r="B121" s="160" t="str">
        <f t="shared" si="36"/>
        <v/>
      </c>
      <c r="C121" s="470">
        <f>IF(D93="","-",+C120+1)</f>
        <v>2033</v>
      </c>
      <c r="D121" s="345">
        <f>IF(F120+SUM(E$99:E120)=D$92,F120,D$92-SUM(E$99:E120))</f>
        <v>676183.61999999988</v>
      </c>
      <c r="E121" s="484">
        <f>IF(+J96&lt;F120,J96,D121)</f>
        <v>36950</v>
      </c>
      <c r="F121" s="483">
        <f t="shared" si="51"/>
        <v>639233.61999999988</v>
      </c>
      <c r="G121" s="483">
        <f t="shared" si="52"/>
        <v>657708.61999999988</v>
      </c>
      <c r="H121" s="484">
        <f t="shared" si="53"/>
        <v>112078.11743177184</v>
      </c>
      <c r="I121" s="540">
        <f t="shared" si="54"/>
        <v>112078.11743177184</v>
      </c>
      <c r="J121" s="476">
        <f t="shared" si="30"/>
        <v>0</v>
      </c>
      <c r="K121" s="476"/>
      <c r="L121" s="485"/>
      <c r="M121" s="476">
        <f t="shared" si="32"/>
        <v>0</v>
      </c>
      <c r="N121" s="485"/>
      <c r="O121" s="476">
        <f t="shared" si="34"/>
        <v>0</v>
      </c>
      <c r="P121" s="476">
        <f t="shared" si="35"/>
        <v>0</v>
      </c>
    </row>
    <row r="122" spans="2:16" ht="12.5">
      <c r="B122" s="160" t="str">
        <f t="shared" si="36"/>
        <v/>
      </c>
      <c r="C122" s="470">
        <f>IF(D93="","-",+C121+1)</f>
        <v>2034</v>
      </c>
      <c r="D122" s="345">
        <f>IF(F121+SUM(E$99:E121)=D$92,F121,D$92-SUM(E$99:E121))</f>
        <v>639233.61999999988</v>
      </c>
      <c r="E122" s="484">
        <f>IF(+J96&lt;F121,J96,D122)</f>
        <v>36950</v>
      </c>
      <c r="F122" s="483">
        <f t="shared" si="51"/>
        <v>602283.61999999988</v>
      </c>
      <c r="G122" s="483">
        <f t="shared" si="52"/>
        <v>620758.61999999988</v>
      </c>
      <c r="H122" s="484">
        <f t="shared" si="53"/>
        <v>107857.42782137268</v>
      </c>
      <c r="I122" s="540">
        <f t="shared" si="54"/>
        <v>107857.42782137268</v>
      </c>
      <c r="J122" s="476">
        <f t="shared" si="30"/>
        <v>0</v>
      </c>
      <c r="K122" s="476"/>
      <c r="L122" s="485"/>
      <c r="M122" s="476">
        <f t="shared" si="32"/>
        <v>0</v>
      </c>
      <c r="N122" s="485"/>
      <c r="O122" s="476">
        <f t="shared" si="34"/>
        <v>0</v>
      </c>
      <c r="P122" s="476">
        <f t="shared" si="35"/>
        <v>0</v>
      </c>
    </row>
    <row r="123" spans="2:16" ht="12.5">
      <c r="B123" s="160" t="str">
        <f t="shared" si="36"/>
        <v/>
      </c>
      <c r="C123" s="470">
        <f>IF(D93="","-",+C122+1)</f>
        <v>2035</v>
      </c>
      <c r="D123" s="345">
        <f>IF(F122+SUM(E$99:E122)=D$92,F122,D$92-SUM(E$99:E122))</f>
        <v>602283.61999999988</v>
      </c>
      <c r="E123" s="484">
        <f>IF(+J96&lt;F122,J96,D123)</f>
        <v>36950</v>
      </c>
      <c r="F123" s="483">
        <f t="shared" si="51"/>
        <v>565333.61999999988</v>
      </c>
      <c r="G123" s="483">
        <f t="shared" si="52"/>
        <v>583808.61999999988</v>
      </c>
      <c r="H123" s="484">
        <f t="shared" si="53"/>
        <v>103636.73821097352</v>
      </c>
      <c r="I123" s="540">
        <f t="shared" si="54"/>
        <v>103636.73821097352</v>
      </c>
      <c r="J123" s="476">
        <f t="shared" si="30"/>
        <v>0</v>
      </c>
      <c r="K123" s="476"/>
      <c r="L123" s="485"/>
      <c r="M123" s="476">
        <f t="shared" si="32"/>
        <v>0</v>
      </c>
      <c r="N123" s="485"/>
      <c r="O123" s="476">
        <f t="shared" si="34"/>
        <v>0</v>
      </c>
      <c r="P123" s="476">
        <f t="shared" si="35"/>
        <v>0</v>
      </c>
    </row>
    <row r="124" spans="2:16" ht="12.5">
      <c r="B124" s="160" t="str">
        <f t="shared" si="36"/>
        <v/>
      </c>
      <c r="C124" s="470">
        <f>IF(D93="","-",+C123+1)</f>
        <v>2036</v>
      </c>
      <c r="D124" s="345">
        <f>IF(F123+SUM(E$99:E123)=D$92,F123,D$92-SUM(E$99:E123))</f>
        <v>565333.61999999988</v>
      </c>
      <c r="E124" s="484">
        <f>IF(+J96&lt;F123,J96,D124)</f>
        <v>36950</v>
      </c>
      <c r="F124" s="483">
        <f t="shared" si="51"/>
        <v>528383.61999999988</v>
      </c>
      <c r="G124" s="483">
        <f t="shared" si="52"/>
        <v>546858.61999999988</v>
      </c>
      <c r="H124" s="484">
        <f t="shared" si="53"/>
        <v>99416.048600574344</v>
      </c>
      <c r="I124" s="540">
        <f t="shared" si="54"/>
        <v>99416.048600574344</v>
      </c>
      <c r="J124" s="476">
        <f t="shared" si="30"/>
        <v>0</v>
      </c>
      <c r="K124" s="476"/>
      <c r="L124" s="485"/>
      <c r="M124" s="476">
        <f t="shared" si="32"/>
        <v>0</v>
      </c>
      <c r="N124" s="485"/>
      <c r="O124" s="476">
        <f t="shared" si="34"/>
        <v>0</v>
      </c>
      <c r="P124" s="476">
        <f t="shared" si="35"/>
        <v>0</v>
      </c>
    </row>
    <row r="125" spans="2:16" ht="12.5">
      <c r="B125" s="160" t="str">
        <f t="shared" si="36"/>
        <v/>
      </c>
      <c r="C125" s="470">
        <f>IF(D93="","-",+C124+1)</f>
        <v>2037</v>
      </c>
      <c r="D125" s="345">
        <f>IF(F124+SUM(E$99:E124)=D$92,F124,D$92-SUM(E$99:E124))</f>
        <v>528383.61999999988</v>
      </c>
      <c r="E125" s="484">
        <f>IF(+J96&lt;F124,J96,D125)</f>
        <v>36950</v>
      </c>
      <c r="F125" s="483">
        <f t="shared" si="51"/>
        <v>491433.61999999988</v>
      </c>
      <c r="G125" s="483">
        <f t="shared" si="52"/>
        <v>509908.61999999988</v>
      </c>
      <c r="H125" s="484">
        <f t="shared" si="53"/>
        <v>95195.358990175184</v>
      </c>
      <c r="I125" s="540">
        <f t="shared" si="54"/>
        <v>95195.358990175184</v>
      </c>
      <c r="J125" s="476">
        <f t="shared" si="30"/>
        <v>0</v>
      </c>
      <c r="K125" s="476"/>
      <c r="L125" s="485"/>
      <c r="M125" s="476">
        <f t="shared" si="32"/>
        <v>0</v>
      </c>
      <c r="N125" s="485"/>
      <c r="O125" s="476">
        <f t="shared" si="34"/>
        <v>0</v>
      </c>
      <c r="P125" s="476">
        <f t="shared" si="35"/>
        <v>0</v>
      </c>
    </row>
    <row r="126" spans="2:16" ht="12.5">
      <c r="B126" s="160" t="str">
        <f t="shared" si="36"/>
        <v/>
      </c>
      <c r="C126" s="470">
        <f>IF(D93="","-",+C125+1)</f>
        <v>2038</v>
      </c>
      <c r="D126" s="345">
        <f>IF(F125+SUM(E$99:E125)=D$92,F125,D$92-SUM(E$99:E125))</f>
        <v>491433.61999999988</v>
      </c>
      <c r="E126" s="484">
        <f>IF(+J96&lt;F125,J96,D126)</f>
        <v>36950</v>
      </c>
      <c r="F126" s="483">
        <f t="shared" si="51"/>
        <v>454483.61999999988</v>
      </c>
      <c r="G126" s="483">
        <f t="shared" si="52"/>
        <v>472958.61999999988</v>
      </c>
      <c r="H126" s="484">
        <f t="shared" si="53"/>
        <v>90974.669379776024</v>
      </c>
      <c r="I126" s="540">
        <f t="shared" si="54"/>
        <v>90974.669379776024</v>
      </c>
      <c r="J126" s="476">
        <f t="shared" si="30"/>
        <v>0</v>
      </c>
      <c r="K126" s="476"/>
      <c r="L126" s="485"/>
      <c r="M126" s="476">
        <f t="shared" si="32"/>
        <v>0</v>
      </c>
      <c r="N126" s="485"/>
      <c r="O126" s="476">
        <f t="shared" si="34"/>
        <v>0</v>
      </c>
      <c r="P126" s="476">
        <f t="shared" si="35"/>
        <v>0</v>
      </c>
    </row>
    <row r="127" spans="2:16" ht="12.5">
      <c r="B127" s="160" t="str">
        <f t="shared" si="36"/>
        <v/>
      </c>
      <c r="C127" s="470">
        <f>IF(D93="","-",+C126+1)</f>
        <v>2039</v>
      </c>
      <c r="D127" s="345">
        <f>IF(F126+SUM(E$99:E126)=D$92,F126,D$92-SUM(E$99:E126))</f>
        <v>454483.61999999988</v>
      </c>
      <c r="E127" s="484">
        <f>IF(+J96&lt;F126,J96,D127)</f>
        <v>36950</v>
      </c>
      <c r="F127" s="483">
        <f t="shared" si="51"/>
        <v>417533.61999999988</v>
      </c>
      <c r="G127" s="483">
        <f t="shared" si="52"/>
        <v>436008.61999999988</v>
      </c>
      <c r="H127" s="484">
        <f t="shared" si="53"/>
        <v>86753.979769376863</v>
      </c>
      <c r="I127" s="540">
        <f t="shared" si="54"/>
        <v>86753.979769376863</v>
      </c>
      <c r="J127" s="476">
        <f t="shared" si="30"/>
        <v>0</v>
      </c>
      <c r="K127" s="476"/>
      <c r="L127" s="485"/>
      <c r="M127" s="476">
        <f t="shared" si="32"/>
        <v>0</v>
      </c>
      <c r="N127" s="485"/>
      <c r="O127" s="476">
        <f t="shared" si="34"/>
        <v>0</v>
      </c>
      <c r="P127" s="476">
        <f t="shared" si="35"/>
        <v>0</v>
      </c>
    </row>
    <row r="128" spans="2:16" ht="12.5">
      <c r="B128" s="160" t="str">
        <f t="shared" si="36"/>
        <v/>
      </c>
      <c r="C128" s="470">
        <f>IF(D93="","-",+C127+1)</f>
        <v>2040</v>
      </c>
      <c r="D128" s="345">
        <f>IF(F127+SUM(E$99:E127)=D$92,F127,D$92-SUM(E$99:E127))</f>
        <v>417533.61999999988</v>
      </c>
      <c r="E128" s="484">
        <f>IF(+J96&lt;F127,J96,D128)</f>
        <v>36950</v>
      </c>
      <c r="F128" s="483">
        <f t="shared" si="51"/>
        <v>380583.61999999988</v>
      </c>
      <c r="G128" s="483">
        <f t="shared" si="52"/>
        <v>399058.61999999988</v>
      </c>
      <c r="H128" s="484">
        <f t="shared" si="53"/>
        <v>82533.290158977703</v>
      </c>
      <c r="I128" s="540">
        <f t="shared" si="54"/>
        <v>82533.290158977703</v>
      </c>
      <c r="J128" s="476">
        <f t="shared" si="30"/>
        <v>0</v>
      </c>
      <c r="K128" s="476"/>
      <c r="L128" s="485"/>
      <c r="M128" s="476">
        <f t="shared" si="32"/>
        <v>0</v>
      </c>
      <c r="N128" s="485"/>
      <c r="O128" s="476">
        <f t="shared" si="34"/>
        <v>0</v>
      </c>
      <c r="P128" s="476">
        <f t="shared" si="35"/>
        <v>0</v>
      </c>
    </row>
    <row r="129" spans="2:16" ht="12.5">
      <c r="B129" s="160" t="str">
        <f t="shared" si="36"/>
        <v/>
      </c>
      <c r="C129" s="470">
        <f>IF(D93="","-",+C128+1)</f>
        <v>2041</v>
      </c>
      <c r="D129" s="345">
        <f>IF(F128+SUM(E$99:E128)=D$92,F128,D$92-SUM(E$99:E128))</f>
        <v>380583.61999999988</v>
      </c>
      <c r="E129" s="484">
        <f t="shared" ref="E129:E154" si="55">IF(+J$96&lt;F128,J$96,D129)</f>
        <v>36950</v>
      </c>
      <c r="F129" s="483">
        <f t="shared" si="51"/>
        <v>343633.61999999988</v>
      </c>
      <c r="G129" s="483">
        <f t="shared" si="52"/>
        <v>362108.61999999988</v>
      </c>
      <c r="H129" s="484">
        <f t="shared" si="53"/>
        <v>78312.600548578543</v>
      </c>
      <c r="I129" s="540">
        <f t="shared" si="54"/>
        <v>78312.600548578543</v>
      </c>
      <c r="J129" s="476">
        <f t="shared" si="30"/>
        <v>0</v>
      </c>
      <c r="K129" s="476"/>
      <c r="L129" s="485"/>
      <c r="M129" s="476">
        <f t="shared" si="32"/>
        <v>0</v>
      </c>
      <c r="N129" s="485"/>
      <c r="O129" s="476">
        <f t="shared" si="34"/>
        <v>0</v>
      </c>
      <c r="P129" s="476">
        <f t="shared" si="35"/>
        <v>0</v>
      </c>
    </row>
    <row r="130" spans="2:16" ht="12.5">
      <c r="B130" s="160" t="str">
        <f t="shared" si="36"/>
        <v/>
      </c>
      <c r="C130" s="470">
        <f>IF(D93="","-",+C129+1)</f>
        <v>2042</v>
      </c>
      <c r="D130" s="345">
        <f>IF(F129+SUM(E$99:E129)=D$92,F129,D$92-SUM(E$99:E129))</f>
        <v>343633.61999999988</v>
      </c>
      <c r="E130" s="484">
        <f t="shared" si="55"/>
        <v>36950</v>
      </c>
      <c r="F130" s="483">
        <f t="shared" si="51"/>
        <v>306683.61999999988</v>
      </c>
      <c r="G130" s="483">
        <f t="shared" si="52"/>
        <v>325158.61999999988</v>
      </c>
      <c r="H130" s="484">
        <f t="shared" si="53"/>
        <v>74091.910938179382</v>
      </c>
      <c r="I130" s="540">
        <f t="shared" si="54"/>
        <v>74091.910938179382</v>
      </c>
      <c r="J130" s="476">
        <f t="shared" si="30"/>
        <v>0</v>
      </c>
      <c r="K130" s="476"/>
      <c r="L130" s="485"/>
      <c r="M130" s="476">
        <f t="shared" si="32"/>
        <v>0</v>
      </c>
      <c r="N130" s="485"/>
      <c r="O130" s="476">
        <f t="shared" si="34"/>
        <v>0</v>
      </c>
      <c r="P130" s="476">
        <f t="shared" si="35"/>
        <v>0</v>
      </c>
    </row>
    <row r="131" spans="2:16" ht="12.5">
      <c r="B131" s="160" t="str">
        <f t="shared" si="36"/>
        <v/>
      </c>
      <c r="C131" s="470">
        <f>IF(D93="","-",+C130+1)</f>
        <v>2043</v>
      </c>
      <c r="D131" s="345">
        <f>IF(F130+SUM(E$99:E130)=D$92,F130,D$92-SUM(E$99:E130))</f>
        <v>306683.61999999988</v>
      </c>
      <c r="E131" s="484">
        <f t="shared" si="55"/>
        <v>36950</v>
      </c>
      <c r="F131" s="483">
        <f t="shared" ref="F131:F154" si="56">+D131-E131</f>
        <v>269733.61999999988</v>
      </c>
      <c r="G131" s="483">
        <f t="shared" ref="G131:G154" si="57">+(F131+D131)/2</f>
        <v>288208.61999999988</v>
      </c>
      <c r="H131" s="484">
        <f t="shared" si="53"/>
        <v>69871.221327780222</v>
      </c>
      <c r="I131" s="540">
        <f t="shared" si="54"/>
        <v>69871.221327780222</v>
      </c>
      <c r="J131" s="476">
        <f t="shared" ref="J131:J154" si="58">+I541-H541</f>
        <v>0</v>
      </c>
      <c r="K131" s="476"/>
      <c r="L131" s="485"/>
      <c r="M131" s="476">
        <f t="shared" ref="M131:M154" si="59">IF(L541&lt;&gt;0,+H541-L541,0)</f>
        <v>0</v>
      </c>
      <c r="N131" s="485"/>
      <c r="O131" s="476">
        <f t="shared" ref="O131:O154" si="60">IF(N541&lt;&gt;0,+I541-N541,0)</f>
        <v>0</v>
      </c>
      <c r="P131" s="476">
        <f t="shared" ref="P131:P154" si="61">+O541-M541</f>
        <v>0</v>
      </c>
    </row>
    <row r="132" spans="2:16" ht="12.5">
      <c r="B132" s="160" t="str">
        <f t="shared" ref="B132:B154" si="62">IF(D132=F131,"","IU")</f>
        <v/>
      </c>
      <c r="C132" s="470">
        <f>IF(D93="","-",+C131+1)</f>
        <v>2044</v>
      </c>
      <c r="D132" s="345">
        <f>IF(F131+SUM(E$99:E131)=D$92,F131,D$92-SUM(E$99:E131))</f>
        <v>269733.61999999988</v>
      </c>
      <c r="E132" s="484">
        <f t="shared" si="55"/>
        <v>36950</v>
      </c>
      <c r="F132" s="483">
        <f t="shared" si="56"/>
        <v>232783.61999999988</v>
      </c>
      <c r="G132" s="483">
        <f t="shared" si="57"/>
        <v>251258.61999999988</v>
      </c>
      <c r="H132" s="484">
        <f t="shared" si="53"/>
        <v>65650.531717381062</v>
      </c>
      <c r="I132" s="540">
        <f t="shared" si="54"/>
        <v>65650.531717381062</v>
      </c>
      <c r="J132" s="476">
        <f t="shared" si="58"/>
        <v>0</v>
      </c>
      <c r="K132" s="476"/>
      <c r="L132" s="485"/>
      <c r="M132" s="476">
        <f t="shared" si="59"/>
        <v>0</v>
      </c>
      <c r="N132" s="485"/>
      <c r="O132" s="476">
        <f t="shared" si="60"/>
        <v>0</v>
      </c>
      <c r="P132" s="476">
        <f t="shared" si="61"/>
        <v>0</v>
      </c>
    </row>
    <row r="133" spans="2:16" ht="12.5">
      <c r="B133" s="160" t="str">
        <f t="shared" si="62"/>
        <v/>
      </c>
      <c r="C133" s="470">
        <f>IF(D93="","-",+C132+1)</f>
        <v>2045</v>
      </c>
      <c r="D133" s="345">
        <f>IF(F132+SUM(E$99:E132)=D$92,F132,D$92-SUM(E$99:E132))</f>
        <v>232783.61999999988</v>
      </c>
      <c r="E133" s="484">
        <f t="shared" si="55"/>
        <v>36950</v>
      </c>
      <c r="F133" s="483">
        <f t="shared" si="56"/>
        <v>195833.61999999988</v>
      </c>
      <c r="G133" s="483">
        <f t="shared" si="57"/>
        <v>214308.61999999988</v>
      </c>
      <c r="H133" s="484">
        <f t="shared" si="53"/>
        <v>61429.842106981901</v>
      </c>
      <c r="I133" s="540">
        <f t="shared" si="54"/>
        <v>61429.842106981901</v>
      </c>
      <c r="J133" s="476">
        <f t="shared" si="58"/>
        <v>0</v>
      </c>
      <c r="K133" s="476"/>
      <c r="L133" s="485"/>
      <c r="M133" s="476">
        <f t="shared" si="59"/>
        <v>0</v>
      </c>
      <c r="N133" s="485"/>
      <c r="O133" s="476">
        <f t="shared" si="60"/>
        <v>0</v>
      </c>
      <c r="P133" s="476">
        <f t="shared" si="61"/>
        <v>0</v>
      </c>
    </row>
    <row r="134" spans="2:16" ht="12.5">
      <c r="B134" s="160" t="str">
        <f t="shared" si="62"/>
        <v/>
      </c>
      <c r="C134" s="470">
        <f>IF(D93="","-",+C133+1)</f>
        <v>2046</v>
      </c>
      <c r="D134" s="345">
        <f>IF(F133+SUM(E$99:E133)=D$92,F133,D$92-SUM(E$99:E133))</f>
        <v>195833.61999999988</v>
      </c>
      <c r="E134" s="484">
        <f t="shared" si="55"/>
        <v>36950</v>
      </c>
      <c r="F134" s="483">
        <f t="shared" si="56"/>
        <v>158883.61999999988</v>
      </c>
      <c r="G134" s="483">
        <f t="shared" si="57"/>
        <v>177358.61999999988</v>
      </c>
      <c r="H134" s="484">
        <f t="shared" si="53"/>
        <v>57209.152496582741</v>
      </c>
      <c r="I134" s="540">
        <f t="shared" si="54"/>
        <v>57209.152496582741</v>
      </c>
      <c r="J134" s="476">
        <f t="shared" si="58"/>
        <v>0</v>
      </c>
      <c r="K134" s="476"/>
      <c r="L134" s="485"/>
      <c r="M134" s="476">
        <f t="shared" si="59"/>
        <v>0</v>
      </c>
      <c r="N134" s="485"/>
      <c r="O134" s="476">
        <f t="shared" si="60"/>
        <v>0</v>
      </c>
      <c r="P134" s="476">
        <f t="shared" si="61"/>
        <v>0</v>
      </c>
    </row>
    <row r="135" spans="2:16" ht="12.5">
      <c r="B135" s="160" t="str">
        <f t="shared" si="62"/>
        <v/>
      </c>
      <c r="C135" s="470">
        <f>IF(D93="","-",+C134+1)</f>
        <v>2047</v>
      </c>
      <c r="D135" s="345">
        <f>IF(F134+SUM(E$99:E134)=D$92,F134,D$92-SUM(E$99:E134))</f>
        <v>158883.61999999988</v>
      </c>
      <c r="E135" s="484">
        <f t="shared" si="55"/>
        <v>36950</v>
      </c>
      <c r="F135" s="483">
        <f t="shared" si="56"/>
        <v>121933.61999999988</v>
      </c>
      <c r="G135" s="483">
        <f t="shared" si="57"/>
        <v>140408.61999999988</v>
      </c>
      <c r="H135" s="484">
        <f t="shared" si="53"/>
        <v>52988.462886183581</v>
      </c>
      <c r="I135" s="540">
        <f t="shared" si="54"/>
        <v>52988.462886183581</v>
      </c>
      <c r="J135" s="476">
        <f t="shared" si="58"/>
        <v>0</v>
      </c>
      <c r="K135" s="476"/>
      <c r="L135" s="485"/>
      <c r="M135" s="476">
        <f t="shared" si="59"/>
        <v>0</v>
      </c>
      <c r="N135" s="485"/>
      <c r="O135" s="476">
        <f t="shared" si="60"/>
        <v>0</v>
      </c>
      <c r="P135" s="476">
        <f t="shared" si="61"/>
        <v>0</v>
      </c>
    </row>
    <row r="136" spans="2:16" ht="12.5">
      <c r="B136" s="160" t="str">
        <f t="shared" si="62"/>
        <v/>
      </c>
      <c r="C136" s="470">
        <f>IF(D93="","-",+C135+1)</f>
        <v>2048</v>
      </c>
      <c r="D136" s="345">
        <f>IF(F135+SUM(E$99:E135)=D$92,F135,D$92-SUM(E$99:E135))</f>
        <v>121933.61999999988</v>
      </c>
      <c r="E136" s="484">
        <f t="shared" si="55"/>
        <v>36950</v>
      </c>
      <c r="F136" s="483">
        <f t="shared" si="56"/>
        <v>84983.619999999879</v>
      </c>
      <c r="G136" s="483">
        <f t="shared" si="57"/>
        <v>103458.61999999988</v>
      </c>
      <c r="H136" s="484">
        <f t="shared" si="53"/>
        <v>48767.773275784421</v>
      </c>
      <c r="I136" s="540">
        <f t="shared" si="54"/>
        <v>48767.773275784421</v>
      </c>
      <c r="J136" s="476">
        <f t="shared" si="58"/>
        <v>0</v>
      </c>
      <c r="K136" s="476"/>
      <c r="L136" s="485"/>
      <c r="M136" s="476">
        <f t="shared" si="59"/>
        <v>0</v>
      </c>
      <c r="N136" s="485"/>
      <c r="O136" s="476">
        <f t="shared" si="60"/>
        <v>0</v>
      </c>
      <c r="P136" s="476">
        <f t="shared" si="61"/>
        <v>0</v>
      </c>
    </row>
    <row r="137" spans="2:16" ht="12.5">
      <c r="B137" s="160" t="str">
        <f t="shared" si="62"/>
        <v/>
      </c>
      <c r="C137" s="470">
        <f>IF(D93="","-",+C136+1)</f>
        <v>2049</v>
      </c>
      <c r="D137" s="345">
        <f>IF(F136+SUM(E$99:E136)=D$92,F136,D$92-SUM(E$99:E136))</f>
        <v>84983.619999999879</v>
      </c>
      <c r="E137" s="484">
        <f t="shared" si="55"/>
        <v>36950</v>
      </c>
      <c r="F137" s="483">
        <f t="shared" si="56"/>
        <v>48033.619999999879</v>
      </c>
      <c r="G137" s="483">
        <f t="shared" si="57"/>
        <v>66508.619999999879</v>
      </c>
      <c r="H137" s="484">
        <f t="shared" si="53"/>
        <v>44547.08366538526</v>
      </c>
      <c r="I137" s="540">
        <f t="shared" si="54"/>
        <v>44547.08366538526</v>
      </c>
      <c r="J137" s="476">
        <f t="shared" si="58"/>
        <v>0</v>
      </c>
      <c r="K137" s="476"/>
      <c r="L137" s="485"/>
      <c r="M137" s="476">
        <f t="shared" si="59"/>
        <v>0</v>
      </c>
      <c r="N137" s="485"/>
      <c r="O137" s="476">
        <f t="shared" si="60"/>
        <v>0</v>
      </c>
      <c r="P137" s="476">
        <f t="shared" si="61"/>
        <v>0</v>
      </c>
    </row>
    <row r="138" spans="2:16" ht="12.5">
      <c r="B138" s="160" t="str">
        <f t="shared" si="62"/>
        <v/>
      </c>
      <c r="C138" s="470">
        <f>IF(D93="","-",+C137+1)</f>
        <v>2050</v>
      </c>
      <c r="D138" s="345">
        <f>IF(F137+SUM(E$99:E137)=D$92,F137,D$92-SUM(E$99:E137))</f>
        <v>48033.619999999879</v>
      </c>
      <c r="E138" s="484">
        <f t="shared" si="55"/>
        <v>36950</v>
      </c>
      <c r="F138" s="483">
        <f t="shared" si="56"/>
        <v>11083.619999999879</v>
      </c>
      <c r="G138" s="483">
        <f t="shared" si="57"/>
        <v>29558.619999999879</v>
      </c>
      <c r="H138" s="484">
        <f t="shared" si="53"/>
        <v>40326.3940549861</v>
      </c>
      <c r="I138" s="540">
        <f t="shared" si="54"/>
        <v>40326.3940549861</v>
      </c>
      <c r="J138" s="476">
        <f t="shared" si="58"/>
        <v>0</v>
      </c>
      <c r="K138" s="476"/>
      <c r="L138" s="485"/>
      <c r="M138" s="476">
        <f t="shared" si="59"/>
        <v>0</v>
      </c>
      <c r="N138" s="485"/>
      <c r="O138" s="476">
        <f t="shared" si="60"/>
        <v>0</v>
      </c>
      <c r="P138" s="476">
        <f t="shared" si="61"/>
        <v>0</v>
      </c>
    </row>
    <row r="139" spans="2:16" ht="12.5">
      <c r="B139" s="160" t="str">
        <f t="shared" si="62"/>
        <v/>
      </c>
      <c r="C139" s="470">
        <f>IF(D93="","-",+C138+1)</f>
        <v>2051</v>
      </c>
      <c r="D139" s="345">
        <f>IF(F138+SUM(E$99:E138)=D$92,F138,D$92-SUM(E$99:E138))</f>
        <v>11083.619999999879</v>
      </c>
      <c r="E139" s="484">
        <f t="shared" si="55"/>
        <v>11083.619999999879</v>
      </c>
      <c r="F139" s="483">
        <f t="shared" si="56"/>
        <v>0</v>
      </c>
      <c r="G139" s="483">
        <f t="shared" si="57"/>
        <v>5541.8099999999395</v>
      </c>
      <c r="H139" s="484">
        <f t="shared" si="53"/>
        <v>11716.644624893139</v>
      </c>
      <c r="I139" s="540">
        <f t="shared" si="54"/>
        <v>11716.644624893139</v>
      </c>
      <c r="J139" s="476">
        <f t="shared" si="58"/>
        <v>0</v>
      </c>
      <c r="K139" s="476"/>
      <c r="L139" s="485"/>
      <c r="M139" s="476">
        <f t="shared" si="59"/>
        <v>0</v>
      </c>
      <c r="N139" s="485"/>
      <c r="O139" s="476">
        <f t="shared" si="60"/>
        <v>0</v>
      </c>
      <c r="P139" s="476">
        <f t="shared" si="61"/>
        <v>0</v>
      </c>
    </row>
    <row r="140" spans="2:16" ht="12.5">
      <c r="B140" s="160" t="str">
        <f t="shared" si="62"/>
        <v/>
      </c>
      <c r="C140" s="470">
        <f>IF(D93="","-",+C139+1)</f>
        <v>2052</v>
      </c>
      <c r="D140" s="345">
        <f>IF(F139+SUM(E$99:E139)=D$92,F139,D$92-SUM(E$99:E139))</f>
        <v>0</v>
      </c>
      <c r="E140" s="484">
        <f t="shared" si="55"/>
        <v>0</v>
      </c>
      <c r="F140" s="483">
        <f t="shared" si="56"/>
        <v>0</v>
      </c>
      <c r="G140" s="483">
        <f t="shared" si="57"/>
        <v>0</v>
      </c>
      <c r="H140" s="484">
        <f t="shared" si="53"/>
        <v>0</v>
      </c>
      <c r="I140" s="540">
        <f t="shared" si="54"/>
        <v>0</v>
      </c>
      <c r="J140" s="476">
        <f t="shared" si="58"/>
        <v>0</v>
      </c>
      <c r="K140" s="476"/>
      <c r="L140" s="485"/>
      <c r="M140" s="476">
        <f t="shared" si="59"/>
        <v>0</v>
      </c>
      <c r="N140" s="485"/>
      <c r="O140" s="476">
        <f t="shared" si="60"/>
        <v>0</v>
      </c>
      <c r="P140" s="476">
        <f t="shared" si="61"/>
        <v>0</v>
      </c>
    </row>
    <row r="141" spans="2:16" ht="12.5">
      <c r="B141" s="160" t="str">
        <f t="shared" si="62"/>
        <v/>
      </c>
      <c r="C141" s="470">
        <f>IF(D93="","-",+C140+1)</f>
        <v>2053</v>
      </c>
      <c r="D141" s="345">
        <f>IF(F140+SUM(E$99:E140)=D$92,F140,D$92-SUM(E$99:E140))</f>
        <v>0</v>
      </c>
      <c r="E141" s="484">
        <f t="shared" si="55"/>
        <v>0</v>
      </c>
      <c r="F141" s="483">
        <f t="shared" si="56"/>
        <v>0</v>
      </c>
      <c r="G141" s="483">
        <f t="shared" si="57"/>
        <v>0</v>
      </c>
      <c r="H141" s="484">
        <f t="shared" si="53"/>
        <v>0</v>
      </c>
      <c r="I141" s="540">
        <f t="shared" si="54"/>
        <v>0</v>
      </c>
      <c r="J141" s="476">
        <f t="shared" si="58"/>
        <v>0</v>
      </c>
      <c r="K141" s="476"/>
      <c r="L141" s="485"/>
      <c r="M141" s="476">
        <f t="shared" si="59"/>
        <v>0</v>
      </c>
      <c r="N141" s="485"/>
      <c r="O141" s="476">
        <f t="shared" si="60"/>
        <v>0</v>
      </c>
      <c r="P141" s="476">
        <f t="shared" si="61"/>
        <v>0</v>
      </c>
    </row>
    <row r="142" spans="2:16" ht="12.5">
      <c r="B142" s="160" t="str">
        <f t="shared" si="62"/>
        <v/>
      </c>
      <c r="C142" s="470">
        <f>IF(D93="","-",+C141+1)</f>
        <v>2054</v>
      </c>
      <c r="D142" s="345">
        <f>IF(F141+SUM(E$99:E141)=D$92,F141,D$92-SUM(E$99:E141))</f>
        <v>0</v>
      </c>
      <c r="E142" s="484">
        <f t="shared" si="55"/>
        <v>0</v>
      </c>
      <c r="F142" s="483">
        <f t="shared" si="56"/>
        <v>0</v>
      </c>
      <c r="G142" s="483">
        <f t="shared" si="57"/>
        <v>0</v>
      </c>
      <c r="H142" s="484">
        <f t="shared" si="53"/>
        <v>0</v>
      </c>
      <c r="I142" s="540">
        <f t="shared" si="54"/>
        <v>0</v>
      </c>
      <c r="J142" s="476">
        <f t="shared" si="58"/>
        <v>0</v>
      </c>
      <c r="K142" s="476"/>
      <c r="L142" s="485"/>
      <c r="M142" s="476">
        <f t="shared" si="59"/>
        <v>0</v>
      </c>
      <c r="N142" s="485"/>
      <c r="O142" s="476">
        <f t="shared" si="60"/>
        <v>0</v>
      </c>
      <c r="P142" s="476">
        <f t="shared" si="61"/>
        <v>0</v>
      </c>
    </row>
    <row r="143" spans="2:16" ht="12.5">
      <c r="B143" s="160" t="str">
        <f t="shared" si="62"/>
        <v/>
      </c>
      <c r="C143" s="470">
        <f>IF(D93="","-",+C142+1)</f>
        <v>2055</v>
      </c>
      <c r="D143" s="345">
        <f>IF(F142+SUM(E$99:E142)=D$92,F142,D$92-SUM(E$99:E142))</f>
        <v>0</v>
      </c>
      <c r="E143" s="484">
        <f t="shared" si="55"/>
        <v>0</v>
      </c>
      <c r="F143" s="483">
        <f t="shared" si="56"/>
        <v>0</v>
      </c>
      <c r="G143" s="483">
        <f t="shared" si="57"/>
        <v>0</v>
      </c>
      <c r="H143" s="484">
        <f t="shared" si="53"/>
        <v>0</v>
      </c>
      <c r="I143" s="540">
        <f t="shared" si="54"/>
        <v>0</v>
      </c>
      <c r="J143" s="476">
        <f t="shared" si="58"/>
        <v>0</v>
      </c>
      <c r="K143" s="476"/>
      <c r="L143" s="485"/>
      <c r="M143" s="476">
        <f t="shared" si="59"/>
        <v>0</v>
      </c>
      <c r="N143" s="485"/>
      <c r="O143" s="476">
        <f t="shared" si="60"/>
        <v>0</v>
      </c>
      <c r="P143" s="476">
        <f t="shared" si="61"/>
        <v>0</v>
      </c>
    </row>
    <row r="144" spans="2:16" ht="12.5">
      <c r="B144" s="160" t="str">
        <f t="shared" si="62"/>
        <v/>
      </c>
      <c r="C144" s="470">
        <f>IF(D93="","-",+C143+1)</f>
        <v>2056</v>
      </c>
      <c r="D144" s="345">
        <f>IF(F143+SUM(E$99:E143)=D$92,F143,D$92-SUM(E$99:E143))</f>
        <v>0</v>
      </c>
      <c r="E144" s="484">
        <f t="shared" si="55"/>
        <v>0</v>
      </c>
      <c r="F144" s="483">
        <f t="shared" si="56"/>
        <v>0</v>
      </c>
      <c r="G144" s="483">
        <f t="shared" si="57"/>
        <v>0</v>
      </c>
      <c r="H144" s="484">
        <f t="shared" si="53"/>
        <v>0</v>
      </c>
      <c r="I144" s="540">
        <f t="shared" si="54"/>
        <v>0</v>
      </c>
      <c r="J144" s="476">
        <f t="shared" si="58"/>
        <v>0</v>
      </c>
      <c r="K144" s="476"/>
      <c r="L144" s="485"/>
      <c r="M144" s="476">
        <f t="shared" si="59"/>
        <v>0</v>
      </c>
      <c r="N144" s="485"/>
      <c r="O144" s="476">
        <f t="shared" si="60"/>
        <v>0</v>
      </c>
      <c r="P144" s="476">
        <f t="shared" si="61"/>
        <v>0</v>
      </c>
    </row>
    <row r="145" spans="2:16" ht="12.5">
      <c r="B145" s="160" t="str">
        <f t="shared" si="62"/>
        <v/>
      </c>
      <c r="C145" s="470">
        <f>IF(D93="","-",+C144+1)</f>
        <v>2057</v>
      </c>
      <c r="D145" s="345">
        <f>IF(F144+SUM(E$99:E144)=D$92,F144,D$92-SUM(E$99:E144))</f>
        <v>0</v>
      </c>
      <c r="E145" s="484">
        <f t="shared" si="55"/>
        <v>0</v>
      </c>
      <c r="F145" s="483">
        <f t="shared" si="56"/>
        <v>0</v>
      </c>
      <c r="G145" s="483">
        <f t="shared" si="57"/>
        <v>0</v>
      </c>
      <c r="H145" s="484">
        <f t="shared" si="53"/>
        <v>0</v>
      </c>
      <c r="I145" s="540">
        <f t="shared" si="54"/>
        <v>0</v>
      </c>
      <c r="J145" s="476">
        <f t="shared" si="58"/>
        <v>0</v>
      </c>
      <c r="K145" s="476"/>
      <c r="L145" s="485"/>
      <c r="M145" s="476">
        <f t="shared" si="59"/>
        <v>0</v>
      </c>
      <c r="N145" s="485"/>
      <c r="O145" s="476">
        <f t="shared" si="60"/>
        <v>0</v>
      </c>
      <c r="P145" s="476">
        <f t="shared" si="61"/>
        <v>0</v>
      </c>
    </row>
    <row r="146" spans="2:16" ht="12.5">
      <c r="B146" s="160" t="str">
        <f t="shared" si="62"/>
        <v/>
      </c>
      <c r="C146" s="470">
        <f>IF(D93="","-",+C145+1)</f>
        <v>2058</v>
      </c>
      <c r="D146" s="345">
        <f>IF(F145+SUM(E$99:E145)=D$92,F145,D$92-SUM(E$99:E145))</f>
        <v>0</v>
      </c>
      <c r="E146" s="484">
        <f t="shared" si="55"/>
        <v>0</v>
      </c>
      <c r="F146" s="483">
        <f t="shared" si="56"/>
        <v>0</v>
      </c>
      <c r="G146" s="483">
        <f t="shared" si="57"/>
        <v>0</v>
      </c>
      <c r="H146" s="484">
        <f t="shared" si="53"/>
        <v>0</v>
      </c>
      <c r="I146" s="540">
        <f t="shared" si="54"/>
        <v>0</v>
      </c>
      <c r="J146" s="476">
        <f t="shared" si="58"/>
        <v>0</v>
      </c>
      <c r="K146" s="476"/>
      <c r="L146" s="485"/>
      <c r="M146" s="476">
        <f t="shared" si="59"/>
        <v>0</v>
      </c>
      <c r="N146" s="485"/>
      <c r="O146" s="476">
        <f t="shared" si="60"/>
        <v>0</v>
      </c>
      <c r="P146" s="476">
        <f t="shared" si="61"/>
        <v>0</v>
      </c>
    </row>
    <row r="147" spans="2:16" ht="12.5">
      <c r="B147" s="160" t="str">
        <f t="shared" si="62"/>
        <v/>
      </c>
      <c r="C147" s="470">
        <f>IF(D93="","-",+C146+1)</f>
        <v>2059</v>
      </c>
      <c r="D147" s="345">
        <f>IF(F146+SUM(E$99:E146)=D$92,F146,D$92-SUM(E$99:E146))</f>
        <v>0</v>
      </c>
      <c r="E147" s="484">
        <f t="shared" si="55"/>
        <v>0</v>
      </c>
      <c r="F147" s="483">
        <f t="shared" si="56"/>
        <v>0</v>
      </c>
      <c r="G147" s="483">
        <f t="shared" si="57"/>
        <v>0</v>
      </c>
      <c r="H147" s="484">
        <f t="shared" si="53"/>
        <v>0</v>
      </c>
      <c r="I147" s="540">
        <f t="shared" si="54"/>
        <v>0</v>
      </c>
      <c r="J147" s="476">
        <f t="shared" si="58"/>
        <v>0</v>
      </c>
      <c r="K147" s="476"/>
      <c r="L147" s="485"/>
      <c r="M147" s="476">
        <f t="shared" si="59"/>
        <v>0</v>
      </c>
      <c r="N147" s="485"/>
      <c r="O147" s="476">
        <f t="shared" si="60"/>
        <v>0</v>
      </c>
      <c r="P147" s="476">
        <f t="shared" si="61"/>
        <v>0</v>
      </c>
    </row>
    <row r="148" spans="2:16" ht="12.5">
      <c r="B148" s="160" t="str">
        <f t="shared" si="62"/>
        <v/>
      </c>
      <c r="C148" s="470">
        <f>IF(D93="","-",+C147+1)</f>
        <v>2060</v>
      </c>
      <c r="D148" s="345">
        <f>IF(F147+SUM(E$99:E147)=D$92,F147,D$92-SUM(E$99:E147))</f>
        <v>0</v>
      </c>
      <c r="E148" s="484">
        <f t="shared" si="55"/>
        <v>0</v>
      </c>
      <c r="F148" s="483">
        <f t="shared" si="56"/>
        <v>0</v>
      </c>
      <c r="G148" s="483">
        <f t="shared" si="57"/>
        <v>0</v>
      </c>
      <c r="H148" s="484">
        <f t="shared" si="53"/>
        <v>0</v>
      </c>
      <c r="I148" s="540">
        <f t="shared" si="54"/>
        <v>0</v>
      </c>
      <c r="J148" s="476">
        <f t="shared" si="58"/>
        <v>0</v>
      </c>
      <c r="K148" s="476"/>
      <c r="L148" s="485"/>
      <c r="M148" s="476">
        <f t="shared" si="59"/>
        <v>0</v>
      </c>
      <c r="N148" s="485"/>
      <c r="O148" s="476">
        <f t="shared" si="60"/>
        <v>0</v>
      </c>
      <c r="P148" s="476">
        <f t="shared" si="61"/>
        <v>0</v>
      </c>
    </row>
    <row r="149" spans="2:16" ht="12.5">
      <c r="B149" s="160" t="str">
        <f t="shared" si="62"/>
        <v/>
      </c>
      <c r="C149" s="470">
        <f>IF(D93="","-",+C148+1)</f>
        <v>2061</v>
      </c>
      <c r="D149" s="345">
        <f>IF(F148+SUM(E$99:E148)=D$92,F148,D$92-SUM(E$99:E148))</f>
        <v>0</v>
      </c>
      <c r="E149" s="484">
        <f t="shared" si="55"/>
        <v>0</v>
      </c>
      <c r="F149" s="483">
        <f t="shared" si="56"/>
        <v>0</v>
      </c>
      <c r="G149" s="483">
        <f t="shared" si="57"/>
        <v>0</v>
      </c>
      <c r="H149" s="484">
        <f t="shared" si="53"/>
        <v>0</v>
      </c>
      <c r="I149" s="540">
        <f t="shared" si="54"/>
        <v>0</v>
      </c>
      <c r="J149" s="476">
        <f t="shared" si="58"/>
        <v>0</v>
      </c>
      <c r="K149" s="476"/>
      <c r="L149" s="485"/>
      <c r="M149" s="476">
        <f t="shared" si="59"/>
        <v>0</v>
      </c>
      <c r="N149" s="485"/>
      <c r="O149" s="476">
        <f t="shared" si="60"/>
        <v>0</v>
      </c>
      <c r="P149" s="476">
        <f t="shared" si="61"/>
        <v>0</v>
      </c>
    </row>
    <row r="150" spans="2:16" ht="12.5">
      <c r="B150" s="160" t="str">
        <f t="shared" si="62"/>
        <v/>
      </c>
      <c r="C150" s="470">
        <f>IF(D93="","-",+C149+1)</f>
        <v>2062</v>
      </c>
      <c r="D150" s="345">
        <f>IF(F149+SUM(E$99:E149)=D$92,F149,D$92-SUM(E$99:E149))</f>
        <v>0</v>
      </c>
      <c r="E150" s="484">
        <f t="shared" si="55"/>
        <v>0</v>
      </c>
      <c r="F150" s="483">
        <f t="shared" si="56"/>
        <v>0</v>
      </c>
      <c r="G150" s="483">
        <f t="shared" si="57"/>
        <v>0</v>
      </c>
      <c r="H150" s="484">
        <f t="shared" si="53"/>
        <v>0</v>
      </c>
      <c r="I150" s="540">
        <f t="shared" si="54"/>
        <v>0</v>
      </c>
      <c r="J150" s="476">
        <f t="shared" si="58"/>
        <v>0</v>
      </c>
      <c r="K150" s="476"/>
      <c r="L150" s="485"/>
      <c r="M150" s="476">
        <f t="shared" si="59"/>
        <v>0</v>
      </c>
      <c r="N150" s="485"/>
      <c r="O150" s="476">
        <f t="shared" si="60"/>
        <v>0</v>
      </c>
      <c r="P150" s="476">
        <f t="shared" si="61"/>
        <v>0</v>
      </c>
    </row>
    <row r="151" spans="2:16" ht="12.5">
      <c r="B151" s="160" t="str">
        <f t="shared" si="62"/>
        <v/>
      </c>
      <c r="C151" s="470">
        <f>IF(D93="","-",+C150+1)</f>
        <v>2063</v>
      </c>
      <c r="D151" s="345">
        <f>IF(F150+SUM(E$99:E150)=D$92,F150,D$92-SUM(E$99:E150))</f>
        <v>0</v>
      </c>
      <c r="E151" s="484">
        <f t="shared" si="55"/>
        <v>0</v>
      </c>
      <c r="F151" s="483">
        <f t="shared" si="56"/>
        <v>0</v>
      </c>
      <c r="G151" s="483">
        <f t="shared" si="57"/>
        <v>0</v>
      </c>
      <c r="H151" s="484">
        <f t="shared" si="53"/>
        <v>0</v>
      </c>
      <c r="I151" s="540">
        <f t="shared" si="54"/>
        <v>0</v>
      </c>
      <c r="J151" s="476">
        <f t="shared" si="58"/>
        <v>0</v>
      </c>
      <c r="K151" s="476"/>
      <c r="L151" s="485"/>
      <c r="M151" s="476">
        <f t="shared" si="59"/>
        <v>0</v>
      </c>
      <c r="N151" s="485"/>
      <c r="O151" s="476">
        <f t="shared" si="60"/>
        <v>0</v>
      </c>
      <c r="P151" s="476">
        <f t="shared" si="61"/>
        <v>0</v>
      </c>
    </row>
    <row r="152" spans="2:16" ht="12.5">
      <c r="B152" s="160" t="str">
        <f t="shared" si="62"/>
        <v/>
      </c>
      <c r="C152" s="470">
        <f>IF(D93="","-",+C151+1)</f>
        <v>2064</v>
      </c>
      <c r="D152" s="345">
        <f>IF(F151+SUM(E$99:E151)=D$92,F151,D$92-SUM(E$99:E151))</f>
        <v>0</v>
      </c>
      <c r="E152" s="484">
        <f t="shared" si="55"/>
        <v>0</v>
      </c>
      <c r="F152" s="483">
        <f t="shared" si="56"/>
        <v>0</v>
      </c>
      <c r="G152" s="483">
        <f t="shared" si="57"/>
        <v>0</v>
      </c>
      <c r="H152" s="484">
        <f t="shared" si="53"/>
        <v>0</v>
      </c>
      <c r="I152" s="540">
        <f t="shared" si="54"/>
        <v>0</v>
      </c>
      <c r="J152" s="476">
        <f t="shared" si="58"/>
        <v>0</v>
      </c>
      <c r="K152" s="476"/>
      <c r="L152" s="485"/>
      <c r="M152" s="476">
        <f t="shared" si="59"/>
        <v>0</v>
      </c>
      <c r="N152" s="485"/>
      <c r="O152" s="476">
        <f t="shared" si="60"/>
        <v>0</v>
      </c>
      <c r="P152" s="476">
        <f t="shared" si="61"/>
        <v>0</v>
      </c>
    </row>
    <row r="153" spans="2:16" ht="12.5">
      <c r="B153" s="160" t="str">
        <f t="shared" si="62"/>
        <v/>
      </c>
      <c r="C153" s="470">
        <f>IF(D93="","-",+C152+1)</f>
        <v>2065</v>
      </c>
      <c r="D153" s="345">
        <f>IF(F152+SUM(E$99:E152)=D$92,F152,D$92-SUM(E$99:E152))</f>
        <v>0</v>
      </c>
      <c r="E153" s="484">
        <f t="shared" si="55"/>
        <v>0</v>
      </c>
      <c r="F153" s="483">
        <f t="shared" si="56"/>
        <v>0</v>
      </c>
      <c r="G153" s="483">
        <f t="shared" si="57"/>
        <v>0</v>
      </c>
      <c r="H153" s="484">
        <f t="shared" si="53"/>
        <v>0</v>
      </c>
      <c r="I153" s="540">
        <f t="shared" si="54"/>
        <v>0</v>
      </c>
      <c r="J153" s="476">
        <f t="shared" si="58"/>
        <v>0</v>
      </c>
      <c r="K153" s="476"/>
      <c r="L153" s="485"/>
      <c r="M153" s="476">
        <f t="shared" si="59"/>
        <v>0</v>
      </c>
      <c r="N153" s="485"/>
      <c r="O153" s="476">
        <f t="shared" si="60"/>
        <v>0</v>
      </c>
      <c r="P153" s="476">
        <f t="shared" si="61"/>
        <v>0</v>
      </c>
    </row>
    <row r="154" spans="2:16" ht="13" thickBot="1">
      <c r="B154" s="160" t="str">
        <f t="shared" si="62"/>
        <v/>
      </c>
      <c r="C154" s="487">
        <f>IF(D93="","-",+C153+1)</f>
        <v>2066</v>
      </c>
      <c r="D154" s="574">
        <f>IF(F153+SUM(E$99:E153)=D$92,F153,D$92-SUM(E$99:E153))</f>
        <v>0</v>
      </c>
      <c r="E154" s="542">
        <f t="shared" si="55"/>
        <v>0</v>
      </c>
      <c r="F154" s="488">
        <f t="shared" si="56"/>
        <v>0</v>
      </c>
      <c r="G154" s="488">
        <f t="shared" si="57"/>
        <v>0</v>
      </c>
      <c r="H154" s="490">
        <f t="shared" ref="H154" si="63">+J$94*G154+E154</f>
        <v>0</v>
      </c>
      <c r="I154" s="543">
        <f t="shared" ref="I154" si="64">+J$95*G154+E154</f>
        <v>0</v>
      </c>
      <c r="J154" s="493">
        <f t="shared" si="58"/>
        <v>0</v>
      </c>
      <c r="K154" s="476"/>
      <c r="L154" s="492"/>
      <c r="M154" s="493">
        <f t="shared" si="59"/>
        <v>0</v>
      </c>
      <c r="N154" s="492"/>
      <c r="O154" s="493">
        <f t="shared" si="60"/>
        <v>0</v>
      </c>
      <c r="P154" s="493">
        <f t="shared" si="61"/>
        <v>0</v>
      </c>
    </row>
    <row r="155" spans="2:16" ht="12.5">
      <c r="C155" s="345" t="s">
        <v>77</v>
      </c>
      <c r="D155" s="346"/>
      <c r="E155" s="346">
        <f>SUM(E99:E154)</f>
        <v>1404099.6199999999</v>
      </c>
      <c r="F155" s="346"/>
      <c r="G155" s="346"/>
      <c r="H155" s="346">
        <f>SUM(H99:H154)</f>
        <v>4920116.9180135736</v>
      </c>
      <c r="I155" s="346">
        <f>SUM(I99:I154)</f>
        <v>4920116.9180135736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2"/>
  <dimension ref="A1:P162"/>
  <sheetViews>
    <sheetView topLeftCell="A66" zoomScaleNormal="100" zoomScaleSheetLayoutView="75" workbookViewId="0">
      <selection activeCell="D94" sqref="D9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8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12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385776.25641025638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385776.25641025638</v>
      </c>
      <c r="O6" s="231"/>
      <c r="P6" s="231"/>
    </row>
    <row r="7" spans="1:16" ht="13.5" thickBot="1">
      <c r="C7" s="429" t="s">
        <v>46</v>
      </c>
      <c r="D7" s="430" t="s">
        <v>234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233</v>
      </c>
      <c r="E9" s="575" t="s">
        <v>290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3305767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2012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8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84763.256410256407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2012</v>
      </c>
      <c r="D17" s="471">
        <v>1132400</v>
      </c>
      <c r="E17" s="472">
        <v>3629.4871794871797</v>
      </c>
      <c r="F17" s="471">
        <v>1128770.5128205128</v>
      </c>
      <c r="G17" s="472">
        <v>160761.94360740471</v>
      </c>
      <c r="H17" s="479">
        <v>160761.94360740471</v>
      </c>
      <c r="I17" s="473">
        <f t="shared" ref="I17:I48" si="0">H17-G17</f>
        <v>0</v>
      </c>
      <c r="J17" s="473"/>
      <c r="K17" s="552">
        <f t="shared" ref="K17:K22" si="1">G17</f>
        <v>160761.94360740471</v>
      </c>
      <c r="L17" s="560">
        <f t="shared" ref="L17:L48" si="2">IF(K17&lt;&gt;0,+G17-K17,0)</f>
        <v>0</v>
      </c>
      <c r="M17" s="552">
        <f t="shared" ref="M17:M22" si="3">H17</f>
        <v>160761.94360740471</v>
      </c>
      <c r="N17" s="557">
        <f t="shared" ref="N17:N48" si="4">IF(M17&lt;&gt;0,+H17-M17,0)</f>
        <v>0</v>
      </c>
      <c r="O17" s="476">
        <f t="shared" ref="O17:O48" si="5">+N17-L17</f>
        <v>0</v>
      </c>
      <c r="P17" s="241"/>
    </row>
    <row r="18" spans="2:16" ht="12.5">
      <c r="B18" s="160" t="str">
        <f t="shared" ref="B18:B49" si="6">IF(D18=F17,"","IU")</f>
        <v>IU</v>
      </c>
      <c r="C18" s="470">
        <f>IF(D11="","-",+C17+1)</f>
        <v>2013</v>
      </c>
      <c r="D18" s="471">
        <v>2746405</v>
      </c>
      <c r="E18" s="478">
        <v>52885</v>
      </c>
      <c r="F18" s="471">
        <v>2693519</v>
      </c>
      <c r="G18" s="478">
        <v>437538</v>
      </c>
      <c r="H18" s="479">
        <v>437538</v>
      </c>
      <c r="I18" s="473">
        <f t="shared" si="0"/>
        <v>0</v>
      </c>
      <c r="J18" s="473"/>
      <c r="K18" s="474">
        <f t="shared" si="1"/>
        <v>437538</v>
      </c>
      <c r="L18" s="548">
        <f t="shared" ref="L18:L23" si="7">IF(K18&lt;&gt;0,+G18-K18,0)</f>
        <v>0</v>
      </c>
      <c r="M18" s="474">
        <f t="shared" si="3"/>
        <v>437538</v>
      </c>
      <c r="N18" s="476">
        <f t="shared" ref="N18:N23" si="8">IF(M18&lt;&gt;0,+H18-M18,0)</f>
        <v>0</v>
      </c>
      <c r="O18" s="476">
        <f t="shared" ref="O18:O23" si="9">+N18-L18</f>
        <v>0</v>
      </c>
      <c r="P18" s="241"/>
    </row>
    <row r="19" spans="2:16" ht="12.5">
      <c r="B19" s="160" t="str">
        <f t="shared" si="6"/>
        <v>IU</v>
      </c>
      <c r="C19" s="470">
        <f>IF(D11="","-",+C18+1)</f>
        <v>2014</v>
      </c>
      <c r="D19" s="471">
        <v>3185619.512820513</v>
      </c>
      <c r="E19" s="478">
        <v>62348.730769230766</v>
      </c>
      <c r="F19" s="471">
        <v>3123270.782051282</v>
      </c>
      <c r="G19" s="478">
        <v>492294.73076923075</v>
      </c>
      <c r="H19" s="479">
        <v>492294.73076923075</v>
      </c>
      <c r="I19" s="473">
        <v>0</v>
      </c>
      <c r="J19" s="473"/>
      <c r="K19" s="474">
        <f t="shared" si="1"/>
        <v>492294.73076923075</v>
      </c>
      <c r="L19" s="548">
        <f t="shared" si="7"/>
        <v>0</v>
      </c>
      <c r="M19" s="474">
        <f t="shared" si="3"/>
        <v>492294.73076923075</v>
      </c>
      <c r="N19" s="476">
        <f t="shared" si="8"/>
        <v>0</v>
      </c>
      <c r="O19" s="476">
        <f t="shared" si="9"/>
        <v>0</v>
      </c>
      <c r="P19" s="241"/>
    </row>
    <row r="20" spans="2:16" ht="12.5">
      <c r="B20" s="160" t="str">
        <f t="shared" si="6"/>
        <v>IU</v>
      </c>
      <c r="C20" s="470">
        <f>IF(D11="","-",+C19+1)</f>
        <v>2015</v>
      </c>
      <c r="D20" s="471">
        <v>3186903.9220512821</v>
      </c>
      <c r="E20" s="478">
        <v>63572.445</v>
      </c>
      <c r="F20" s="471">
        <v>3123331.4770512823</v>
      </c>
      <c r="G20" s="478">
        <v>494191.44500000001</v>
      </c>
      <c r="H20" s="479">
        <v>494191.44500000001</v>
      </c>
      <c r="I20" s="473">
        <v>0</v>
      </c>
      <c r="J20" s="473"/>
      <c r="K20" s="474">
        <f t="shared" si="1"/>
        <v>494191.44500000001</v>
      </c>
      <c r="L20" s="548">
        <f t="shared" si="7"/>
        <v>0</v>
      </c>
      <c r="M20" s="474">
        <f t="shared" si="3"/>
        <v>494191.44500000001</v>
      </c>
      <c r="N20" s="476">
        <f t="shared" si="8"/>
        <v>0</v>
      </c>
      <c r="O20" s="476">
        <f t="shared" si="9"/>
        <v>0</v>
      </c>
      <c r="P20" s="241"/>
    </row>
    <row r="21" spans="2:16" ht="12.5">
      <c r="B21" s="160" t="str">
        <f t="shared" si="6"/>
        <v/>
      </c>
      <c r="C21" s="470">
        <f>IF(D11="","-",+C20+1)</f>
        <v>2016</v>
      </c>
      <c r="D21" s="471">
        <v>3123331.4770512823</v>
      </c>
      <c r="E21" s="478">
        <v>63572.445</v>
      </c>
      <c r="F21" s="471">
        <v>3059759.0320512825</v>
      </c>
      <c r="G21" s="478">
        <v>464889.44500000001</v>
      </c>
      <c r="H21" s="479">
        <v>464889.44500000001</v>
      </c>
      <c r="I21" s="473">
        <f t="shared" si="0"/>
        <v>0</v>
      </c>
      <c r="J21" s="473"/>
      <c r="K21" s="474">
        <f t="shared" si="1"/>
        <v>464889.44500000001</v>
      </c>
      <c r="L21" s="548">
        <f t="shared" si="7"/>
        <v>0</v>
      </c>
      <c r="M21" s="474">
        <f t="shared" si="3"/>
        <v>464889.44500000001</v>
      </c>
      <c r="N21" s="476">
        <f t="shared" si="8"/>
        <v>0</v>
      </c>
      <c r="O21" s="476">
        <f t="shared" si="9"/>
        <v>0</v>
      </c>
      <c r="P21" s="241"/>
    </row>
    <row r="22" spans="2:16" ht="12.5">
      <c r="B22" s="160" t="str">
        <f t="shared" si="6"/>
        <v/>
      </c>
      <c r="C22" s="470">
        <f>IF(D11="","-",+C21+1)</f>
        <v>2017</v>
      </c>
      <c r="D22" s="471">
        <v>3059759.0320512825</v>
      </c>
      <c r="E22" s="478">
        <v>71864.503043478268</v>
      </c>
      <c r="F22" s="471">
        <v>2987894.5290078041</v>
      </c>
      <c r="G22" s="478">
        <v>452105.50304347824</v>
      </c>
      <c r="H22" s="479">
        <v>452105.50304347824</v>
      </c>
      <c r="I22" s="473">
        <f t="shared" si="0"/>
        <v>0</v>
      </c>
      <c r="J22" s="473"/>
      <c r="K22" s="474">
        <f t="shared" si="1"/>
        <v>452105.50304347824</v>
      </c>
      <c r="L22" s="548">
        <f t="shared" si="7"/>
        <v>0</v>
      </c>
      <c r="M22" s="474">
        <f t="shared" si="3"/>
        <v>452105.50304347824</v>
      </c>
      <c r="N22" s="476">
        <f t="shared" si="8"/>
        <v>0</v>
      </c>
      <c r="O22" s="476">
        <f t="shared" si="9"/>
        <v>0</v>
      </c>
      <c r="P22" s="241"/>
    </row>
    <row r="23" spans="2:16" ht="12.5">
      <c r="B23" s="160" t="str">
        <f t="shared" si="6"/>
        <v/>
      </c>
      <c r="C23" s="470">
        <f>IF(D11="","-",+C22+1)</f>
        <v>2018</v>
      </c>
      <c r="D23" s="471">
        <v>2987894.5290078041</v>
      </c>
      <c r="E23" s="478">
        <v>73461.491999999998</v>
      </c>
      <c r="F23" s="471">
        <v>2914433.037007804</v>
      </c>
      <c r="G23" s="478">
        <v>467887.49199999997</v>
      </c>
      <c r="H23" s="479">
        <v>467887.49199999997</v>
      </c>
      <c r="I23" s="473">
        <f t="shared" si="0"/>
        <v>0</v>
      </c>
      <c r="J23" s="473"/>
      <c r="K23" s="474">
        <f t="shared" ref="K23:K28" si="10">G23</f>
        <v>467887.49199999997</v>
      </c>
      <c r="L23" s="548">
        <f t="shared" si="7"/>
        <v>0</v>
      </c>
      <c r="M23" s="474">
        <f t="shared" ref="M23:M28" si="11">H23</f>
        <v>467887.49199999997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2019</v>
      </c>
      <c r="D24" s="471">
        <v>2914433.037007804</v>
      </c>
      <c r="E24" s="478">
        <v>73461.491999999998</v>
      </c>
      <c r="F24" s="471">
        <v>2840971.5450078039</v>
      </c>
      <c r="G24" s="478">
        <v>457945.49199999997</v>
      </c>
      <c r="H24" s="479">
        <v>457945.49199999997</v>
      </c>
      <c r="I24" s="473">
        <f t="shared" si="0"/>
        <v>0</v>
      </c>
      <c r="J24" s="473"/>
      <c r="K24" s="474">
        <f t="shared" si="10"/>
        <v>457945.49199999997</v>
      </c>
      <c r="L24" s="548">
        <f t="shared" ref="L24" si="12">IF(K24&lt;&gt;0,+G24-K24,0)</f>
        <v>0</v>
      </c>
      <c r="M24" s="474">
        <f t="shared" si="11"/>
        <v>457945.49199999997</v>
      </c>
      <c r="N24" s="476">
        <f t="shared" ref="N24" si="13">IF(M24&lt;&gt;0,+H24-M24,0)</f>
        <v>0</v>
      </c>
      <c r="O24" s="476">
        <f t="shared" ref="O24" si="14">+N24-L24</f>
        <v>0</v>
      </c>
      <c r="P24" s="241"/>
    </row>
    <row r="25" spans="2:16" ht="12.5">
      <c r="B25" s="160" t="str">
        <f t="shared" si="6"/>
        <v/>
      </c>
      <c r="C25" s="470">
        <f>IF(D11="","-",+C24+1)</f>
        <v>2020</v>
      </c>
      <c r="D25" s="471">
        <v>2840971.5450078039</v>
      </c>
      <c r="E25" s="478">
        <v>78708.741428571433</v>
      </c>
      <c r="F25" s="471">
        <v>2762262.8035792327</v>
      </c>
      <c r="G25" s="478">
        <v>381296.77932523622</v>
      </c>
      <c r="H25" s="479">
        <v>381296.77932523622</v>
      </c>
      <c r="I25" s="473">
        <f t="shared" si="0"/>
        <v>0</v>
      </c>
      <c r="J25" s="473"/>
      <c r="K25" s="474">
        <f t="shared" si="10"/>
        <v>381296.77932523622</v>
      </c>
      <c r="L25" s="548">
        <f t="shared" ref="L25" si="15">IF(K25&lt;&gt;0,+G25-K25,0)</f>
        <v>0</v>
      </c>
      <c r="M25" s="474">
        <f t="shared" si="11"/>
        <v>381296.77932523622</v>
      </c>
      <c r="N25" s="476">
        <f t="shared" si="4"/>
        <v>0</v>
      </c>
      <c r="O25" s="476">
        <f t="shared" si="5"/>
        <v>0</v>
      </c>
      <c r="P25" s="241"/>
    </row>
    <row r="26" spans="2:16" ht="12.5">
      <c r="B26" s="160" t="str">
        <f t="shared" si="6"/>
        <v>IU</v>
      </c>
      <c r="C26" s="470">
        <f>IF(D11="","-",+C25+1)</f>
        <v>2021</v>
      </c>
      <c r="D26" s="471">
        <v>2753080.1170792324</v>
      </c>
      <c r="E26" s="478">
        <v>76878.305581395354</v>
      </c>
      <c r="F26" s="471">
        <v>2676201.8114978368</v>
      </c>
      <c r="G26" s="478">
        <v>365431.30558139534</v>
      </c>
      <c r="H26" s="479">
        <v>365431.30558139534</v>
      </c>
      <c r="I26" s="473">
        <f t="shared" si="0"/>
        <v>0</v>
      </c>
      <c r="J26" s="473"/>
      <c r="K26" s="474">
        <f t="shared" si="10"/>
        <v>365431.30558139534</v>
      </c>
      <c r="L26" s="548">
        <f t="shared" ref="L26" si="16">IF(K26&lt;&gt;0,+G26-K26,0)</f>
        <v>0</v>
      </c>
      <c r="M26" s="474">
        <f t="shared" si="11"/>
        <v>365431.30558139534</v>
      </c>
      <c r="N26" s="476">
        <f t="shared" si="4"/>
        <v>0</v>
      </c>
      <c r="O26" s="476">
        <f t="shared" si="5"/>
        <v>0</v>
      </c>
      <c r="P26" s="241"/>
    </row>
    <row r="27" spans="2:16" ht="12.5">
      <c r="B27" s="160" t="str">
        <f t="shared" si="6"/>
        <v>IU</v>
      </c>
      <c r="C27" s="470">
        <f>IF(D11="","-",+C26+1)</f>
        <v>2022</v>
      </c>
      <c r="D27" s="471">
        <v>2685384.4979978371</v>
      </c>
      <c r="E27" s="478">
        <v>78708.741428571433</v>
      </c>
      <c r="F27" s="471">
        <v>2606675.7565692659</v>
      </c>
      <c r="G27" s="478">
        <v>359737.7414285714</v>
      </c>
      <c r="H27" s="479">
        <v>359737.7414285714</v>
      </c>
      <c r="I27" s="473">
        <f t="shared" si="0"/>
        <v>0</v>
      </c>
      <c r="J27" s="473"/>
      <c r="K27" s="474">
        <f t="shared" si="10"/>
        <v>359737.7414285714</v>
      </c>
      <c r="L27" s="548">
        <f t="shared" ref="L27" si="17">IF(K27&lt;&gt;0,+G27-K27,0)</f>
        <v>0</v>
      </c>
      <c r="M27" s="474">
        <f t="shared" si="11"/>
        <v>359737.7414285714</v>
      </c>
      <c r="N27" s="476">
        <f t="shared" si="4"/>
        <v>0</v>
      </c>
      <c r="O27" s="476">
        <f t="shared" si="5"/>
        <v>0</v>
      </c>
      <c r="P27" s="241"/>
    </row>
    <row r="28" spans="2:16" ht="12.5">
      <c r="B28" s="160" t="str">
        <f t="shared" si="6"/>
        <v>IU</v>
      </c>
      <c r="C28" s="470">
        <f>IF(D11="","-",+C27+1)</f>
        <v>2023</v>
      </c>
      <c r="D28" s="471">
        <v>2606675.6165692657</v>
      </c>
      <c r="E28" s="478">
        <v>84763.256410256407</v>
      </c>
      <c r="F28" s="471">
        <v>2521912.3601590092</v>
      </c>
      <c r="G28" s="478">
        <v>385776.25641025638</v>
      </c>
      <c r="H28" s="479">
        <v>385776.25641025638</v>
      </c>
      <c r="I28" s="473">
        <f t="shared" si="0"/>
        <v>0</v>
      </c>
      <c r="J28" s="473"/>
      <c r="K28" s="474">
        <f t="shared" si="10"/>
        <v>385776.25641025638</v>
      </c>
      <c r="L28" s="548">
        <f t="shared" ref="L28" si="18">IF(K28&lt;&gt;0,+G28-K28,0)</f>
        <v>0</v>
      </c>
      <c r="M28" s="474">
        <f t="shared" si="11"/>
        <v>385776.25641025638</v>
      </c>
      <c r="N28" s="476">
        <f t="shared" si="4"/>
        <v>0</v>
      </c>
      <c r="O28" s="476">
        <f t="shared" si="5"/>
        <v>0</v>
      </c>
      <c r="P28" s="241"/>
    </row>
    <row r="29" spans="2:16" ht="12.5">
      <c r="B29" s="160" t="str">
        <f t="shared" si="6"/>
        <v/>
      </c>
      <c r="C29" s="470">
        <f>IF(D11="","-",+C28+1)</f>
        <v>2024</v>
      </c>
      <c r="D29" s="483">
        <f>IF(F28+SUM(E$17:E28)=D$10,F28,D$10-SUM(E$17:E28))</f>
        <v>2521912.3601590092</v>
      </c>
      <c r="E29" s="482">
        <f>IF(+I14&lt;F28,I14,D29)</f>
        <v>84763.256410256407</v>
      </c>
      <c r="F29" s="483">
        <f t="shared" ref="F29:F48" si="19">+D29-E29</f>
        <v>2437149.1037487527</v>
      </c>
      <c r="G29" s="484">
        <f t="shared" ref="G29:G72" si="20">(D29+F29)/2*I$12+E29</f>
        <v>380717.44269754912</v>
      </c>
      <c r="H29" s="453">
        <f t="shared" ref="H29:H72" si="21">+(D29+F29)/2*I$13+E29</f>
        <v>380717.44269754912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 ht="12.5">
      <c r="B30" s="160" t="str">
        <f t="shared" si="6"/>
        <v/>
      </c>
      <c r="C30" s="470">
        <f>IF(D11="","-",+C29+1)</f>
        <v>2025</v>
      </c>
      <c r="D30" s="483">
        <f>IF(F29+SUM(E$17:E29)=D$10,F29,D$10-SUM(E$17:E29))</f>
        <v>2437149.1037487527</v>
      </c>
      <c r="E30" s="482">
        <f>IF(+I14&lt;F29,I14,D30)</f>
        <v>84763.256410256407</v>
      </c>
      <c r="F30" s="483">
        <f t="shared" si="19"/>
        <v>2352385.8473384962</v>
      </c>
      <c r="G30" s="484">
        <f t="shared" si="20"/>
        <v>370600.18935816805</v>
      </c>
      <c r="H30" s="453">
        <f t="shared" si="21"/>
        <v>370600.18935816805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 ht="12.5">
      <c r="B31" s="160" t="str">
        <f t="shared" si="6"/>
        <v/>
      </c>
      <c r="C31" s="470">
        <f>IF(D11="","-",+C30+1)</f>
        <v>2026</v>
      </c>
      <c r="D31" s="483">
        <f>IF(F30+SUM(E$17:E30)=D$10,F30,D$10-SUM(E$17:E30))</f>
        <v>2352385.8473384962</v>
      </c>
      <c r="E31" s="482">
        <f>IF(+I14&lt;F30,I14,D31)</f>
        <v>84763.256410256407</v>
      </c>
      <c r="F31" s="483">
        <f t="shared" si="19"/>
        <v>2267622.5909282397</v>
      </c>
      <c r="G31" s="484">
        <f t="shared" si="20"/>
        <v>360482.93601878674</v>
      </c>
      <c r="H31" s="453">
        <f t="shared" si="21"/>
        <v>360482.93601878674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 ht="12.5">
      <c r="B32" s="160" t="str">
        <f t="shared" si="6"/>
        <v/>
      </c>
      <c r="C32" s="470">
        <f>IF(D11="","-",+C31+1)</f>
        <v>2027</v>
      </c>
      <c r="D32" s="483">
        <f>IF(F31+SUM(E$17:E31)=D$10,F31,D$10-SUM(E$17:E31))</f>
        <v>2267622.5909282397</v>
      </c>
      <c r="E32" s="482">
        <f>IF(+I14&lt;F31,I14,D32)</f>
        <v>84763.256410256407</v>
      </c>
      <c r="F32" s="483">
        <f t="shared" si="19"/>
        <v>2182859.3345179833</v>
      </c>
      <c r="G32" s="484">
        <f t="shared" si="20"/>
        <v>350365.68267940567</v>
      </c>
      <c r="H32" s="453">
        <f t="shared" si="21"/>
        <v>350365.68267940567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 ht="12.5">
      <c r="B33" s="160" t="str">
        <f t="shared" si="6"/>
        <v/>
      </c>
      <c r="C33" s="470">
        <f>IF(D11="","-",+C32+1)</f>
        <v>2028</v>
      </c>
      <c r="D33" s="483">
        <f>IF(F32+SUM(E$17:E32)=D$10,F32,D$10-SUM(E$17:E32))</f>
        <v>2182859.3345179833</v>
      </c>
      <c r="E33" s="482">
        <f>IF(+I14&lt;F32,I14,D33)</f>
        <v>84763.256410256407</v>
      </c>
      <c r="F33" s="483">
        <f t="shared" si="19"/>
        <v>2098096.0781077268</v>
      </c>
      <c r="G33" s="484">
        <f t="shared" si="20"/>
        <v>340248.42934002448</v>
      </c>
      <c r="H33" s="453">
        <f t="shared" si="21"/>
        <v>340248.42934002448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 ht="12.5">
      <c r="B34" s="160" t="str">
        <f t="shared" si="6"/>
        <v/>
      </c>
      <c r="C34" s="470">
        <f>IF(D11="","-",+C33+1)</f>
        <v>2029</v>
      </c>
      <c r="D34" s="483">
        <f>IF(F33+SUM(E$17:E33)=D$10,F33,D$10-SUM(E$17:E33))</f>
        <v>2098096.0781077268</v>
      </c>
      <c r="E34" s="482">
        <f>IF(+I14&lt;F33,I14,D34)</f>
        <v>84763.256410256407</v>
      </c>
      <c r="F34" s="483">
        <f t="shared" si="19"/>
        <v>2013332.8216974703</v>
      </c>
      <c r="G34" s="484">
        <f t="shared" si="20"/>
        <v>330131.17600064335</v>
      </c>
      <c r="H34" s="453">
        <f t="shared" si="21"/>
        <v>330131.17600064335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 ht="12.5">
      <c r="B35" s="160" t="str">
        <f t="shared" si="6"/>
        <v/>
      </c>
      <c r="C35" s="470">
        <f>IF(D11="","-",+C34+1)</f>
        <v>2030</v>
      </c>
      <c r="D35" s="483">
        <f>IF(F34+SUM(E$17:E34)=D$10,F34,D$10-SUM(E$17:E34))</f>
        <v>2013332.8216974703</v>
      </c>
      <c r="E35" s="482">
        <f>IF(+I14&lt;F34,I14,D35)</f>
        <v>84763.256410256407</v>
      </c>
      <c r="F35" s="483">
        <f t="shared" si="19"/>
        <v>1928569.5652872138</v>
      </c>
      <c r="G35" s="484">
        <f t="shared" si="20"/>
        <v>320013.92266126222</v>
      </c>
      <c r="H35" s="453">
        <f t="shared" si="21"/>
        <v>320013.92266126222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 ht="12.5">
      <c r="B36" s="160" t="str">
        <f t="shared" si="6"/>
        <v/>
      </c>
      <c r="C36" s="470">
        <f>IF(D11="","-",+C35+1)</f>
        <v>2031</v>
      </c>
      <c r="D36" s="483">
        <f>IF(F35+SUM(E$17:E35)=D$10,F35,D$10-SUM(E$17:E35))</f>
        <v>1928569.5652872138</v>
      </c>
      <c r="E36" s="482">
        <f>IF(+I14&lt;F35,I14,D36)</f>
        <v>84763.256410256407</v>
      </c>
      <c r="F36" s="483">
        <f t="shared" si="19"/>
        <v>1843806.3088769573</v>
      </c>
      <c r="G36" s="484">
        <f t="shared" si="20"/>
        <v>309896.66932188103</v>
      </c>
      <c r="H36" s="453">
        <f t="shared" si="21"/>
        <v>309896.66932188103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 ht="12.5">
      <c r="B37" s="160" t="str">
        <f t="shared" si="6"/>
        <v/>
      </c>
      <c r="C37" s="470">
        <f>IF(D11="","-",+C36+1)</f>
        <v>2032</v>
      </c>
      <c r="D37" s="483">
        <f>IF(F36+SUM(E$17:E36)=D$10,F36,D$10-SUM(E$17:E36))</f>
        <v>1843806.3088769573</v>
      </c>
      <c r="E37" s="482">
        <f>IF(+I14&lt;F36,I14,D37)</f>
        <v>84763.256410256407</v>
      </c>
      <c r="F37" s="483">
        <f t="shared" si="19"/>
        <v>1759043.0524667008</v>
      </c>
      <c r="G37" s="484">
        <f t="shared" si="20"/>
        <v>299779.41598249984</v>
      </c>
      <c r="H37" s="453">
        <f t="shared" si="21"/>
        <v>299779.41598249984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 ht="12.5">
      <c r="B38" s="160" t="str">
        <f t="shared" si="6"/>
        <v/>
      </c>
      <c r="C38" s="470">
        <f>IF(D11="","-",+C37+1)</f>
        <v>2033</v>
      </c>
      <c r="D38" s="483">
        <f>IF(F37+SUM(E$17:E37)=D$10,F37,D$10-SUM(E$17:E37))</f>
        <v>1759043.0524667008</v>
      </c>
      <c r="E38" s="482">
        <f>IF(+I14&lt;F37,I14,D38)</f>
        <v>84763.256410256407</v>
      </c>
      <c r="F38" s="483">
        <f t="shared" si="19"/>
        <v>1674279.7960564443</v>
      </c>
      <c r="G38" s="484">
        <f t="shared" si="20"/>
        <v>289662.1626431187</v>
      </c>
      <c r="H38" s="453">
        <f t="shared" si="21"/>
        <v>289662.1626431187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 ht="12.5">
      <c r="B39" s="160" t="str">
        <f t="shared" si="6"/>
        <v/>
      </c>
      <c r="C39" s="470">
        <f>IF(D11="","-",+C38+1)</f>
        <v>2034</v>
      </c>
      <c r="D39" s="483">
        <f>IF(F38+SUM(E$17:E38)=D$10,F38,D$10-SUM(E$17:E38))</f>
        <v>1674279.7960564443</v>
      </c>
      <c r="E39" s="482">
        <f>IF(+I14&lt;F38,I14,D39)</f>
        <v>84763.256410256407</v>
      </c>
      <c r="F39" s="483">
        <f t="shared" si="19"/>
        <v>1589516.5396461878</v>
      </c>
      <c r="G39" s="484">
        <f t="shared" si="20"/>
        <v>279544.90930373757</v>
      </c>
      <c r="H39" s="453">
        <f t="shared" si="21"/>
        <v>279544.90930373757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 ht="12.5">
      <c r="B40" s="160" t="str">
        <f t="shared" si="6"/>
        <v/>
      </c>
      <c r="C40" s="470">
        <f>IF(D11="","-",+C39+1)</f>
        <v>2035</v>
      </c>
      <c r="D40" s="483">
        <f>IF(F39+SUM(E$17:E39)=D$10,F39,D$10-SUM(E$17:E39))</f>
        <v>1589516.5396461878</v>
      </c>
      <c r="E40" s="482">
        <f>IF(+I14&lt;F39,I14,D40)</f>
        <v>84763.256410256407</v>
      </c>
      <c r="F40" s="483">
        <f t="shared" si="19"/>
        <v>1504753.2832359313</v>
      </c>
      <c r="G40" s="484">
        <f t="shared" si="20"/>
        <v>269427.65596435638</v>
      </c>
      <c r="H40" s="453">
        <f t="shared" si="21"/>
        <v>269427.65596435638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 ht="12.5">
      <c r="B41" s="160" t="str">
        <f t="shared" si="6"/>
        <v/>
      </c>
      <c r="C41" s="470">
        <f>IF(D11="","-",+C40+1)</f>
        <v>2036</v>
      </c>
      <c r="D41" s="483">
        <f>IF(F40+SUM(E$17:E40)=D$10,F40,D$10-SUM(E$17:E40))</f>
        <v>1504753.2832359313</v>
      </c>
      <c r="E41" s="482">
        <f>IF(+I14&lt;F40,I14,D41)</f>
        <v>84763.256410256407</v>
      </c>
      <c r="F41" s="483">
        <f t="shared" si="19"/>
        <v>1419990.0268256748</v>
      </c>
      <c r="G41" s="484">
        <f t="shared" si="20"/>
        <v>259310.40262497522</v>
      </c>
      <c r="H41" s="453">
        <f t="shared" si="21"/>
        <v>259310.40262497522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 ht="12.5">
      <c r="B42" s="160" t="str">
        <f t="shared" si="6"/>
        <v/>
      </c>
      <c r="C42" s="470">
        <f>IF(D11="","-",+C41+1)</f>
        <v>2037</v>
      </c>
      <c r="D42" s="483">
        <f>IF(F41+SUM(E$17:E41)=D$10,F41,D$10-SUM(E$17:E41))</f>
        <v>1419990.0268256748</v>
      </c>
      <c r="E42" s="482">
        <f>IF(+I14&lt;F41,I14,D42)</f>
        <v>84763.256410256407</v>
      </c>
      <c r="F42" s="483">
        <f t="shared" si="19"/>
        <v>1335226.7704154183</v>
      </c>
      <c r="G42" s="484">
        <f t="shared" si="20"/>
        <v>249193.14928559406</v>
      </c>
      <c r="H42" s="453">
        <f t="shared" si="21"/>
        <v>249193.14928559406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 ht="12.5">
      <c r="B43" s="160" t="str">
        <f t="shared" si="6"/>
        <v/>
      </c>
      <c r="C43" s="470">
        <f>IF(D11="","-",+C42+1)</f>
        <v>2038</v>
      </c>
      <c r="D43" s="483">
        <f>IF(F42+SUM(E$17:E42)=D$10,F42,D$10-SUM(E$17:E42))</f>
        <v>1335226.7704154183</v>
      </c>
      <c r="E43" s="482">
        <f>IF(+I14&lt;F42,I14,D43)</f>
        <v>84763.256410256407</v>
      </c>
      <c r="F43" s="483">
        <f t="shared" si="19"/>
        <v>1250463.5140051618</v>
      </c>
      <c r="G43" s="484">
        <f t="shared" si="20"/>
        <v>239075.89594621293</v>
      </c>
      <c r="H43" s="453">
        <f t="shared" si="21"/>
        <v>239075.89594621293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 ht="12.5">
      <c r="B44" s="160" t="str">
        <f t="shared" si="6"/>
        <v/>
      </c>
      <c r="C44" s="470">
        <f>IF(D11="","-",+C43+1)</f>
        <v>2039</v>
      </c>
      <c r="D44" s="483">
        <f>IF(F43+SUM(E$17:E43)=D$10,F43,D$10-SUM(E$17:E43))</f>
        <v>1250463.5140051618</v>
      </c>
      <c r="E44" s="482">
        <f>IF(+I14&lt;F43,I14,D44)</f>
        <v>84763.256410256407</v>
      </c>
      <c r="F44" s="483">
        <f t="shared" si="19"/>
        <v>1165700.2575949053</v>
      </c>
      <c r="G44" s="484">
        <f t="shared" si="20"/>
        <v>228958.64260683177</v>
      </c>
      <c r="H44" s="453">
        <f t="shared" si="21"/>
        <v>228958.64260683177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 ht="12.5">
      <c r="B45" s="160" t="str">
        <f t="shared" si="6"/>
        <v/>
      </c>
      <c r="C45" s="470">
        <f>IF(D11="","-",+C44+1)</f>
        <v>2040</v>
      </c>
      <c r="D45" s="483">
        <f>IF(F44+SUM(E$17:E44)=D$10,F44,D$10-SUM(E$17:E44))</f>
        <v>1165700.2575949053</v>
      </c>
      <c r="E45" s="482">
        <f>IF(+I14&lt;F44,I14,D45)</f>
        <v>84763.256410256407</v>
      </c>
      <c r="F45" s="483">
        <f t="shared" si="19"/>
        <v>1080937.0011846488</v>
      </c>
      <c r="G45" s="484">
        <f t="shared" si="20"/>
        <v>218841.38926745061</v>
      </c>
      <c r="H45" s="453">
        <f t="shared" si="21"/>
        <v>218841.38926745061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 ht="12.5">
      <c r="B46" s="160" t="str">
        <f t="shared" si="6"/>
        <v/>
      </c>
      <c r="C46" s="470">
        <f>IF(D11="","-",+C45+1)</f>
        <v>2041</v>
      </c>
      <c r="D46" s="483">
        <f>IF(F45+SUM(E$17:E45)=D$10,F45,D$10-SUM(E$17:E45))</f>
        <v>1080937.0011846488</v>
      </c>
      <c r="E46" s="482">
        <f>IF(+I14&lt;F45,I14,D46)</f>
        <v>84763.256410256407</v>
      </c>
      <c r="F46" s="483">
        <f t="shared" si="19"/>
        <v>996173.74477439246</v>
      </c>
      <c r="G46" s="484">
        <f t="shared" si="20"/>
        <v>208724.13592806945</v>
      </c>
      <c r="H46" s="453">
        <f t="shared" si="21"/>
        <v>208724.13592806945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 ht="12.5">
      <c r="B47" s="160" t="str">
        <f t="shared" si="6"/>
        <v/>
      </c>
      <c r="C47" s="470">
        <f>IF(D11="","-",+C46+1)</f>
        <v>2042</v>
      </c>
      <c r="D47" s="483">
        <f>IF(F46+SUM(E$17:E46)=D$10,F46,D$10-SUM(E$17:E46))</f>
        <v>996173.74477439246</v>
      </c>
      <c r="E47" s="482">
        <f>IF(+I14&lt;F46,I14,D47)</f>
        <v>84763.256410256407</v>
      </c>
      <c r="F47" s="483">
        <f t="shared" si="19"/>
        <v>911410.48836413608</v>
      </c>
      <c r="G47" s="484">
        <f t="shared" si="20"/>
        <v>198606.88258868831</v>
      </c>
      <c r="H47" s="453">
        <f t="shared" si="21"/>
        <v>198606.88258868831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 ht="12.5">
      <c r="B48" s="160" t="str">
        <f t="shared" si="6"/>
        <v/>
      </c>
      <c r="C48" s="470">
        <f>IF(D11="","-",+C47+1)</f>
        <v>2043</v>
      </c>
      <c r="D48" s="483">
        <f>IF(F47+SUM(E$17:E47)=D$10,F47,D$10-SUM(E$17:E47))</f>
        <v>911410.48836413608</v>
      </c>
      <c r="E48" s="482">
        <f>IF(+I14&lt;F47,I14,D48)</f>
        <v>84763.256410256407</v>
      </c>
      <c r="F48" s="483">
        <f t="shared" si="19"/>
        <v>826647.2319538797</v>
      </c>
      <c r="G48" s="484">
        <f t="shared" si="20"/>
        <v>188489.62924930715</v>
      </c>
      <c r="H48" s="453">
        <f t="shared" si="21"/>
        <v>188489.62924930715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 ht="12.5">
      <c r="B49" s="160" t="str">
        <f t="shared" si="6"/>
        <v/>
      </c>
      <c r="C49" s="470">
        <f>IF(D11="","-",+C48+1)</f>
        <v>2044</v>
      </c>
      <c r="D49" s="483">
        <f>IF(F48+SUM(E$17:E48)=D$10,F48,D$10-SUM(E$17:E48))</f>
        <v>826647.2319538797</v>
      </c>
      <c r="E49" s="482">
        <f>IF(+I14&lt;F48,I14,D49)</f>
        <v>84763.256410256407</v>
      </c>
      <c r="F49" s="483">
        <f t="shared" ref="F49:F72" si="22">+D49-E49</f>
        <v>741883.97554362332</v>
      </c>
      <c r="G49" s="484">
        <f t="shared" si="20"/>
        <v>178372.37590992602</v>
      </c>
      <c r="H49" s="453">
        <f t="shared" si="21"/>
        <v>178372.37590992602</v>
      </c>
      <c r="I49" s="473">
        <f t="shared" ref="I49:I72" si="23">H49-G49</f>
        <v>0</v>
      </c>
      <c r="J49" s="473"/>
      <c r="K49" s="485"/>
      <c r="L49" s="476">
        <f t="shared" ref="L49:L72" si="24">IF(K49&lt;&gt;0,+G49-K49,0)</f>
        <v>0</v>
      </c>
      <c r="M49" s="485"/>
      <c r="N49" s="476">
        <f t="shared" ref="N49:N72" si="25">IF(M49&lt;&gt;0,+H49-M49,0)</f>
        <v>0</v>
      </c>
      <c r="O49" s="476">
        <f t="shared" ref="O49:O72" si="26">+N49-L49</f>
        <v>0</v>
      </c>
      <c r="P49" s="241"/>
    </row>
    <row r="50" spans="2:16" ht="12.5">
      <c r="B50" s="160" t="str">
        <f t="shared" ref="B50:B72" si="27">IF(D50=F49,"","IU")</f>
        <v/>
      </c>
      <c r="C50" s="470">
        <f>IF(D11="","-",+C49+1)</f>
        <v>2045</v>
      </c>
      <c r="D50" s="483">
        <f>IF(F49+SUM(E$17:E49)=D$10,F49,D$10-SUM(E$17:E49))</f>
        <v>741883.97554362332</v>
      </c>
      <c r="E50" s="482">
        <f>IF(+I14&lt;F49,I14,D50)</f>
        <v>84763.256410256407</v>
      </c>
      <c r="F50" s="483">
        <f t="shared" si="22"/>
        <v>657120.71913336695</v>
      </c>
      <c r="G50" s="484">
        <f t="shared" si="20"/>
        <v>168255.12257054486</v>
      </c>
      <c r="H50" s="453">
        <f t="shared" si="21"/>
        <v>168255.12257054486</v>
      </c>
      <c r="I50" s="473">
        <f t="shared" si="23"/>
        <v>0</v>
      </c>
      <c r="J50" s="473"/>
      <c r="K50" s="485"/>
      <c r="L50" s="476">
        <f t="shared" si="24"/>
        <v>0</v>
      </c>
      <c r="M50" s="485"/>
      <c r="N50" s="476">
        <f t="shared" si="25"/>
        <v>0</v>
      </c>
      <c r="O50" s="476">
        <f t="shared" si="26"/>
        <v>0</v>
      </c>
      <c r="P50" s="241"/>
    </row>
    <row r="51" spans="2:16" ht="12.5">
      <c r="B51" s="160" t="str">
        <f t="shared" si="27"/>
        <v/>
      </c>
      <c r="C51" s="470">
        <f>IF(D11="","-",+C50+1)</f>
        <v>2046</v>
      </c>
      <c r="D51" s="483">
        <f>IF(F50+SUM(E$17:E50)=D$10,F50,D$10-SUM(E$17:E50))</f>
        <v>657120.71913336695</v>
      </c>
      <c r="E51" s="482">
        <f>IF(+I14&lt;F50,I14,D51)</f>
        <v>84763.256410256407</v>
      </c>
      <c r="F51" s="483">
        <f t="shared" si="22"/>
        <v>572357.46272311057</v>
      </c>
      <c r="G51" s="484">
        <f t="shared" si="20"/>
        <v>158137.86923116373</v>
      </c>
      <c r="H51" s="453">
        <f t="shared" si="21"/>
        <v>158137.86923116373</v>
      </c>
      <c r="I51" s="473">
        <f t="shared" si="23"/>
        <v>0</v>
      </c>
      <c r="J51" s="473"/>
      <c r="K51" s="485"/>
      <c r="L51" s="476">
        <f t="shared" si="24"/>
        <v>0</v>
      </c>
      <c r="M51" s="485"/>
      <c r="N51" s="476">
        <f t="shared" si="25"/>
        <v>0</v>
      </c>
      <c r="O51" s="476">
        <f t="shared" si="26"/>
        <v>0</v>
      </c>
      <c r="P51" s="241"/>
    </row>
    <row r="52" spans="2:16" ht="12.5">
      <c r="B52" s="160" t="str">
        <f t="shared" si="27"/>
        <v/>
      </c>
      <c r="C52" s="470">
        <f>IF(D11="","-",+C51+1)</f>
        <v>2047</v>
      </c>
      <c r="D52" s="483">
        <f>IF(F51+SUM(E$17:E51)=D$10,F51,D$10-SUM(E$17:E51))</f>
        <v>572357.46272311057</v>
      </c>
      <c r="E52" s="482">
        <f>IF(+I14&lt;F51,I14,D52)</f>
        <v>84763.256410256407</v>
      </c>
      <c r="F52" s="483">
        <f t="shared" si="22"/>
        <v>487594.20631285419</v>
      </c>
      <c r="G52" s="484">
        <f t="shared" si="20"/>
        <v>148020.61589178257</v>
      </c>
      <c r="H52" s="453">
        <f t="shared" si="21"/>
        <v>148020.61589178257</v>
      </c>
      <c r="I52" s="473">
        <f t="shared" si="23"/>
        <v>0</v>
      </c>
      <c r="J52" s="473"/>
      <c r="K52" s="485"/>
      <c r="L52" s="476">
        <f t="shared" si="24"/>
        <v>0</v>
      </c>
      <c r="M52" s="485"/>
      <c r="N52" s="476">
        <f t="shared" si="25"/>
        <v>0</v>
      </c>
      <c r="O52" s="476">
        <f t="shared" si="26"/>
        <v>0</v>
      </c>
      <c r="P52" s="241"/>
    </row>
    <row r="53" spans="2:16" ht="12.5">
      <c r="B53" s="160" t="str">
        <f t="shared" si="27"/>
        <v/>
      </c>
      <c r="C53" s="470">
        <f>IF(D11="","-",+C52+1)</f>
        <v>2048</v>
      </c>
      <c r="D53" s="483">
        <f>IF(F52+SUM(E$17:E52)=D$10,F52,D$10-SUM(E$17:E52))</f>
        <v>487594.20631285419</v>
      </c>
      <c r="E53" s="482">
        <f>IF(+I14&lt;F52,I14,D53)</f>
        <v>84763.256410256407</v>
      </c>
      <c r="F53" s="483">
        <f t="shared" si="22"/>
        <v>402830.94990259781</v>
      </c>
      <c r="G53" s="484">
        <f t="shared" si="20"/>
        <v>137903.36255240144</v>
      </c>
      <c r="H53" s="453">
        <f t="shared" si="21"/>
        <v>137903.36255240144</v>
      </c>
      <c r="I53" s="473">
        <f t="shared" si="23"/>
        <v>0</v>
      </c>
      <c r="J53" s="473"/>
      <c r="K53" s="485"/>
      <c r="L53" s="476">
        <f t="shared" si="24"/>
        <v>0</v>
      </c>
      <c r="M53" s="485"/>
      <c r="N53" s="476">
        <f t="shared" si="25"/>
        <v>0</v>
      </c>
      <c r="O53" s="476">
        <f t="shared" si="26"/>
        <v>0</v>
      </c>
      <c r="P53" s="241"/>
    </row>
    <row r="54" spans="2:16" ht="12.5">
      <c r="B54" s="160" t="str">
        <f t="shared" si="27"/>
        <v/>
      </c>
      <c r="C54" s="470">
        <f>IF(D11="","-",+C53+1)</f>
        <v>2049</v>
      </c>
      <c r="D54" s="483">
        <f>IF(F53+SUM(E$17:E53)=D$10,F53,D$10-SUM(E$17:E53))</f>
        <v>402830.94990259781</v>
      </c>
      <c r="E54" s="482">
        <f>IF(+I14&lt;F53,I14,D54)</f>
        <v>84763.256410256407</v>
      </c>
      <c r="F54" s="483">
        <f t="shared" si="22"/>
        <v>318067.69349234144</v>
      </c>
      <c r="G54" s="484">
        <f t="shared" si="20"/>
        <v>127786.1092130203</v>
      </c>
      <c r="H54" s="453">
        <f t="shared" si="21"/>
        <v>127786.1092130203</v>
      </c>
      <c r="I54" s="473">
        <f t="shared" si="23"/>
        <v>0</v>
      </c>
      <c r="J54" s="473"/>
      <c r="K54" s="485"/>
      <c r="L54" s="476">
        <f t="shared" si="24"/>
        <v>0</v>
      </c>
      <c r="M54" s="485"/>
      <c r="N54" s="476">
        <f t="shared" si="25"/>
        <v>0</v>
      </c>
      <c r="O54" s="476">
        <f t="shared" si="26"/>
        <v>0</v>
      </c>
      <c r="P54" s="241"/>
    </row>
    <row r="55" spans="2:16" ht="12.5">
      <c r="B55" s="160" t="str">
        <f t="shared" si="27"/>
        <v/>
      </c>
      <c r="C55" s="470">
        <f>IF(D11="","-",+C54+1)</f>
        <v>2050</v>
      </c>
      <c r="D55" s="483">
        <f>IF(F54+SUM(E$17:E54)=D$10,F54,D$10-SUM(E$17:E54))</f>
        <v>318067.69349234144</v>
      </c>
      <c r="E55" s="482">
        <f>IF(+I14&lt;F54,I14,D55)</f>
        <v>84763.256410256407</v>
      </c>
      <c r="F55" s="483">
        <f t="shared" si="22"/>
        <v>233304.43708208503</v>
      </c>
      <c r="G55" s="484">
        <f t="shared" si="20"/>
        <v>117668.85587363914</v>
      </c>
      <c r="H55" s="453">
        <f t="shared" si="21"/>
        <v>117668.85587363914</v>
      </c>
      <c r="I55" s="473">
        <f t="shared" si="23"/>
        <v>0</v>
      </c>
      <c r="J55" s="473"/>
      <c r="K55" s="485"/>
      <c r="L55" s="476">
        <f t="shared" si="24"/>
        <v>0</v>
      </c>
      <c r="M55" s="485"/>
      <c r="N55" s="476">
        <f t="shared" si="25"/>
        <v>0</v>
      </c>
      <c r="O55" s="476">
        <f t="shared" si="26"/>
        <v>0</v>
      </c>
      <c r="P55" s="241"/>
    </row>
    <row r="56" spans="2:16" ht="12.5">
      <c r="B56" s="160" t="str">
        <f t="shared" si="27"/>
        <v/>
      </c>
      <c r="C56" s="470">
        <f>IF(D11="","-",+C55+1)</f>
        <v>2051</v>
      </c>
      <c r="D56" s="483">
        <f>IF(F55+SUM(E$17:E55)=D$10,F55,D$10-SUM(E$17:E55))</f>
        <v>233304.43708208503</v>
      </c>
      <c r="E56" s="482">
        <f>IF(+I14&lt;F55,I14,D56)</f>
        <v>84763.256410256407</v>
      </c>
      <c r="F56" s="483">
        <f t="shared" si="22"/>
        <v>148541.18067182862</v>
      </c>
      <c r="G56" s="484">
        <f t="shared" si="20"/>
        <v>107551.602534258</v>
      </c>
      <c r="H56" s="453">
        <f t="shared" si="21"/>
        <v>107551.602534258</v>
      </c>
      <c r="I56" s="473">
        <f t="shared" si="23"/>
        <v>0</v>
      </c>
      <c r="J56" s="473"/>
      <c r="K56" s="485"/>
      <c r="L56" s="476">
        <f t="shared" si="24"/>
        <v>0</v>
      </c>
      <c r="M56" s="485"/>
      <c r="N56" s="476">
        <f t="shared" si="25"/>
        <v>0</v>
      </c>
      <c r="O56" s="476">
        <f t="shared" si="26"/>
        <v>0</v>
      </c>
      <c r="P56" s="241"/>
    </row>
    <row r="57" spans="2:16" ht="12.5">
      <c r="B57" s="160" t="str">
        <f t="shared" si="27"/>
        <v/>
      </c>
      <c r="C57" s="470">
        <f>IF(D11="","-",+C56+1)</f>
        <v>2052</v>
      </c>
      <c r="D57" s="483">
        <f>IF(F56+SUM(E$17:E56)=D$10,F56,D$10-SUM(E$17:E56))</f>
        <v>148541.18067182862</v>
      </c>
      <c r="E57" s="482">
        <f>IF(+I14&lt;F56,I14,D57)</f>
        <v>84763.256410256407</v>
      </c>
      <c r="F57" s="483">
        <f t="shared" si="22"/>
        <v>63777.924261572218</v>
      </c>
      <c r="G57" s="484">
        <f t="shared" si="20"/>
        <v>97434.34919487685</v>
      </c>
      <c r="H57" s="453">
        <f t="shared" si="21"/>
        <v>97434.34919487685</v>
      </c>
      <c r="I57" s="473">
        <f t="shared" si="23"/>
        <v>0</v>
      </c>
      <c r="J57" s="473"/>
      <c r="K57" s="485"/>
      <c r="L57" s="476">
        <f t="shared" si="24"/>
        <v>0</v>
      </c>
      <c r="M57" s="485"/>
      <c r="N57" s="476">
        <f t="shared" si="25"/>
        <v>0</v>
      </c>
      <c r="O57" s="476">
        <f t="shared" si="26"/>
        <v>0</v>
      </c>
      <c r="P57" s="241"/>
    </row>
    <row r="58" spans="2:16" ht="12.5">
      <c r="B58" s="160" t="str">
        <f t="shared" si="27"/>
        <v/>
      </c>
      <c r="C58" s="470">
        <f>IF(D11="","-",+C57+1)</f>
        <v>2053</v>
      </c>
      <c r="D58" s="483">
        <f>IF(F57+SUM(E$17:E57)=D$10,F57,D$10-SUM(E$17:E57))</f>
        <v>63777.924261572218</v>
      </c>
      <c r="E58" s="482">
        <f>IF(+I14&lt;F57,I14,D58)</f>
        <v>63777.924261572218</v>
      </c>
      <c r="F58" s="483">
        <f t="shared" si="22"/>
        <v>0</v>
      </c>
      <c r="G58" s="484">
        <f t="shared" si="20"/>
        <v>67584.157319037156</v>
      </c>
      <c r="H58" s="453">
        <f t="shared" si="21"/>
        <v>67584.157319037156</v>
      </c>
      <c r="I58" s="473">
        <f t="shared" si="23"/>
        <v>0</v>
      </c>
      <c r="J58" s="473"/>
      <c r="K58" s="485"/>
      <c r="L58" s="476">
        <f t="shared" si="24"/>
        <v>0</v>
      </c>
      <c r="M58" s="485"/>
      <c r="N58" s="476">
        <f t="shared" si="25"/>
        <v>0</v>
      </c>
      <c r="O58" s="476">
        <f t="shared" si="26"/>
        <v>0</v>
      </c>
      <c r="P58" s="241"/>
    </row>
    <row r="59" spans="2:16" ht="12.5">
      <c r="B59" s="160" t="str">
        <f t="shared" si="27"/>
        <v/>
      </c>
      <c r="C59" s="470">
        <f>IF(D11="","-",+C58+1)</f>
        <v>2054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2"/>
        <v>0</v>
      </c>
      <c r="G59" s="484">
        <f t="shared" si="20"/>
        <v>0</v>
      </c>
      <c r="H59" s="453">
        <f t="shared" si="21"/>
        <v>0</v>
      </c>
      <c r="I59" s="473">
        <f t="shared" si="23"/>
        <v>0</v>
      </c>
      <c r="J59" s="473"/>
      <c r="K59" s="485"/>
      <c r="L59" s="476">
        <f t="shared" si="24"/>
        <v>0</v>
      </c>
      <c r="M59" s="485"/>
      <c r="N59" s="476">
        <f t="shared" si="25"/>
        <v>0</v>
      </c>
      <c r="O59" s="476">
        <f t="shared" si="26"/>
        <v>0</v>
      </c>
      <c r="P59" s="241"/>
    </row>
    <row r="60" spans="2:16" ht="12.5">
      <c r="B60" s="160" t="str">
        <f t="shared" si="27"/>
        <v/>
      </c>
      <c r="C60" s="470">
        <f>IF(D11="","-",+C59+1)</f>
        <v>2055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2"/>
        <v>0</v>
      </c>
      <c r="G60" s="484">
        <f t="shared" si="20"/>
        <v>0</v>
      </c>
      <c r="H60" s="453">
        <f t="shared" si="21"/>
        <v>0</v>
      </c>
      <c r="I60" s="473">
        <f t="shared" si="23"/>
        <v>0</v>
      </c>
      <c r="J60" s="473"/>
      <c r="K60" s="485"/>
      <c r="L60" s="476">
        <f t="shared" si="24"/>
        <v>0</v>
      </c>
      <c r="M60" s="485"/>
      <c r="N60" s="476">
        <f t="shared" si="25"/>
        <v>0</v>
      </c>
      <c r="O60" s="476">
        <f t="shared" si="26"/>
        <v>0</v>
      </c>
      <c r="P60" s="241"/>
    </row>
    <row r="61" spans="2:16" ht="12.5">
      <c r="B61" s="160" t="str">
        <f t="shared" si="27"/>
        <v/>
      </c>
      <c r="C61" s="470">
        <f>IF(D11="","-",+C60+1)</f>
        <v>2056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2"/>
        <v>0</v>
      </c>
      <c r="G61" s="484">
        <f t="shared" si="20"/>
        <v>0</v>
      </c>
      <c r="H61" s="453">
        <f t="shared" si="21"/>
        <v>0</v>
      </c>
      <c r="I61" s="473">
        <f t="shared" si="23"/>
        <v>0</v>
      </c>
      <c r="J61" s="473"/>
      <c r="K61" s="485"/>
      <c r="L61" s="476">
        <f t="shared" si="24"/>
        <v>0</v>
      </c>
      <c r="M61" s="485"/>
      <c r="N61" s="476">
        <f t="shared" si="25"/>
        <v>0</v>
      </c>
      <c r="O61" s="476">
        <f t="shared" si="26"/>
        <v>0</v>
      </c>
      <c r="P61" s="241"/>
    </row>
    <row r="62" spans="2:16" ht="12.5">
      <c r="B62" s="160" t="str">
        <f t="shared" si="27"/>
        <v/>
      </c>
      <c r="C62" s="470">
        <f>IF(D11="","-",+C61+1)</f>
        <v>2057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2"/>
        <v>0</v>
      </c>
      <c r="G62" s="484">
        <f t="shared" si="20"/>
        <v>0</v>
      </c>
      <c r="H62" s="453">
        <f t="shared" si="21"/>
        <v>0</v>
      </c>
      <c r="I62" s="473">
        <f t="shared" si="23"/>
        <v>0</v>
      </c>
      <c r="J62" s="473"/>
      <c r="K62" s="485"/>
      <c r="L62" s="476">
        <f t="shared" si="24"/>
        <v>0</v>
      </c>
      <c r="M62" s="485"/>
      <c r="N62" s="476">
        <f t="shared" si="25"/>
        <v>0</v>
      </c>
      <c r="O62" s="476">
        <f t="shared" si="26"/>
        <v>0</v>
      </c>
      <c r="P62" s="241"/>
    </row>
    <row r="63" spans="2:16" ht="12.5">
      <c r="B63" s="160" t="str">
        <f t="shared" si="27"/>
        <v/>
      </c>
      <c r="C63" s="470">
        <f>IF(D11="","-",+C62+1)</f>
        <v>2058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2"/>
        <v>0</v>
      </c>
      <c r="G63" s="484">
        <f t="shared" si="20"/>
        <v>0</v>
      </c>
      <c r="H63" s="453">
        <f t="shared" si="21"/>
        <v>0</v>
      </c>
      <c r="I63" s="473">
        <f t="shared" si="23"/>
        <v>0</v>
      </c>
      <c r="J63" s="473"/>
      <c r="K63" s="485"/>
      <c r="L63" s="476">
        <f t="shared" si="24"/>
        <v>0</v>
      </c>
      <c r="M63" s="485"/>
      <c r="N63" s="476">
        <f t="shared" si="25"/>
        <v>0</v>
      </c>
      <c r="O63" s="476">
        <f t="shared" si="26"/>
        <v>0</v>
      </c>
      <c r="P63" s="241"/>
    </row>
    <row r="64" spans="2:16" ht="12.5">
      <c r="B64" s="160" t="str">
        <f t="shared" si="27"/>
        <v/>
      </c>
      <c r="C64" s="470">
        <f>IF(D11="","-",+C63+1)</f>
        <v>2059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2"/>
        <v>0</v>
      </c>
      <c r="G64" s="484">
        <f t="shared" si="20"/>
        <v>0</v>
      </c>
      <c r="H64" s="453">
        <f t="shared" si="21"/>
        <v>0</v>
      </c>
      <c r="I64" s="473">
        <f t="shared" si="23"/>
        <v>0</v>
      </c>
      <c r="J64" s="473"/>
      <c r="K64" s="485"/>
      <c r="L64" s="476">
        <f t="shared" si="24"/>
        <v>0</v>
      </c>
      <c r="M64" s="485"/>
      <c r="N64" s="476">
        <f t="shared" si="25"/>
        <v>0</v>
      </c>
      <c r="O64" s="476">
        <f t="shared" si="26"/>
        <v>0</v>
      </c>
      <c r="P64" s="241"/>
    </row>
    <row r="65" spans="2:16" ht="12.5">
      <c r="B65" s="160" t="str">
        <f t="shared" si="27"/>
        <v/>
      </c>
      <c r="C65" s="470">
        <f>IF(D11="","-",+C64+1)</f>
        <v>2060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2"/>
        <v>0</v>
      </c>
      <c r="G65" s="484">
        <f t="shared" si="20"/>
        <v>0</v>
      </c>
      <c r="H65" s="453">
        <f t="shared" si="21"/>
        <v>0</v>
      </c>
      <c r="I65" s="473">
        <f t="shared" si="23"/>
        <v>0</v>
      </c>
      <c r="J65" s="473"/>
      <c r="K65" s="485"/>
      <c r="L65" s="476">
        <f t="shared" si="24"/>
        <v>0</v>
      </c>
      <c r="M65" s="485"/>
      <c r="N65" s="476">
        <f t="shared" si="25"/>
        <v>0</v>
      </c>
      <c r="O65" s="476">
        <f t="shared" si="26"/>
        <v>0</v>
      </c>
      <c r="P65" s="241"/>
    </row>
    <row r="66" spans="2:16" ht="12.5">
      <c r="B66" s="160" t="str">
        <f t="shared" si="27"/>
        <v/>
      </c>
      <c r="C66" s="470">
        <f>IF(D11="","-",+C65+1)</f>
        <v>2061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2"/>
        <v>0</v>
      </c>
      <c r="G66" s="484">
        <f t="shared" si="20"/>
        <v>0</v>
      </c>
      <c r="H66" s="453">
        <f t="shared" si="21"/>
        <v>0</v>
      </c>
      <c r="I66" s="473">
        <f t="shared" si="23"/>
        <v>0</v>
      </c>
      <c r="J66" s="473"/>
      <c r="K66" s="485"/>
      <c r="L66" s="476">
        <f t="shared" si="24"/>
        <v>0</v>
      </c>
      <c r="M66" s="485"/>
      <c r="N66" s="476">
        <f t="shared" si="25"/>
        <v>0</v>
      </c>
      <c r="O66" s="476">
        <f t="shared" si="26"/>
        <v>0</v>
      </c>
      <c r="P66" s="241"/>
    </row>
    <row r="67" spans="2:16" ht="12.5">
      <c r="B67" s="160" t="str">
        <f t="shared" si="27"/>
        <v/>
      </c>
      <c r="C67" s="470">
        <f>IF(D11="","-",+C66+1)</f>
        <v>2062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2"/>
        <v>0</v>
      </c>
      <c r="G67" s="484">
        <f t="shared" si="20"/>
        <v>0</v>
      </c>
      <c r="H67" s="453">
        <f t="shared" si="21"/>
        <v>0</v>
      </c>
      <c r="I67" s="473">
        <f t="shared" si="23"/>
        <v>0</v>
      </c>
      <c r="J67" s="473"/>
      <c r="K67" s="485"/>
      <c r="L67" s="476">
        <f t="shared" si="24"/>
        <v>0</v>
      </c>
      <c r="M67" s="485"/>
      <c r="N67" s="476">
        <f t="shared" si="25"/>
        <v>0</v>
      </c>
      <c r="O67" s="476">
        <f t="shared" si="26"/>
        <v>0</v>
      </c>
      <c r="P67" s="241"/>
    </row>
    <row r="68" spans="2:16" ht="12.5">
      <c r="B68" s="160" t="str">
        <f t="shared" si="27"/>
        <v/>
      </c>
      <c r="C68" s="470">
        <f>IF(D11="","-",+C67+1)</f>
        <v>2063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2"/>
        <v>0</v>
      </c>
      <c r="G68" s="484">
        <f t="shared" si="20"/>
        <v>0</v>
      </c>
      <c r="H68" s="453">
        <f t="shared" si="21"/>
        <v>0</v>
      </c>
      <c r="I68" s="473">
        <f t="shared" si="23"/>
        <v>0</v>
      </c>
      <c r="J68" s="473"/>
      <c r="K68" s="485"/>
      <c r="L68" s="476">
        <f t="shared" si="24"/>
        <v>0</v>
      </c>
      <c r="M68" s="485"/>
      <c r="N68" s="476">
        <f t="shared" si="25"/>
        <v>0</v>
      </c>
      <c r="O68" s="476">
        <f t="shared" si="26"/>
        <v>0</v>
      </c>
      <c r="P68" s="241"/>
    </row>
    <row r="69" spans="2:16" ht="12.5">
      <c r="B69" s="160" t="str">
        <f t="shared" si="27"/>
        <v/>
      </c>
      <c r="C69" s="470">
        <f>IF(D11="","-",+C68+1)</f>
        <v>2064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2"/>
        <v>0</v>
      </c>
      <c r="G69" s="484">
        <f t="shared" si="20"/>
        <v>0</v>
      </c>
      <c r="H69" s="453">
        <f t="shared" si="21"/>
        <v>0</v>
      </c>
      <c r="I69" s="473">
        <f t="shared" si="23"/>
        <v>0</v>
      </c>
      <c r="J69" s="473"/>
      <c r="K69" s="485"/>
      <c r="L69" s="476">
        <f t="shared" si="24"/>
        <v>0</v>
      </c>
      <c r="M69" s="485"/>
      <c r="N69" s="476">
        <f t="shared" si="25"/>
        <v>0</v>
      </c>
      <c r="O69" s="476">
        <f t="shared" si="26"/>
        <v>0</v>
      </c>
      <c r="P69" s="241"/>
    </row>
    <row r="70" spans="2:16" ht="12.5">
      <c r="B70" s="160" t="str">
        <f t="shared" si="27"/>
        <v/>
      </c>
      <c r="C70" s="470">
        <f>IF(D11="","-",+C69+1)</f>
        <v>2065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2"/>
        <v>0</v>
      </c>
      <c r="G70" s="484">
        <f t="shared" si="20"/>
        <v>0</v>
      </c>
      <c r="H70" s="453">
        <f t="shared" si="21"/>
        <v>0</v>
      </c>
      <c r="I70" s="473">
        <f t="shared" si="23"/>
        <v>0</v>
      </c>
      <c r="J70" s="473"/>
      <c r="K70" s="485"/>
      <c r="L70" s="476">
        <f t="shared" si="24"/>
        <v>0</v>
      </c>
      <c r="M70" s="485"/>
      <c r="N70" s="476">
        <f t="shared" si="25"/>
        <v>0</v>
      </c>
      <c r="O70" s="476">
        <f t="shared" si="26"/>
        <v>0</v>
      </c>
      <c r="P70" s="241"/>
    </row>
    <row r="71" spans="2:16" ht="12.5">
      <c r="B71" s="160" t="str">
        <f t="shared" si="27"/>
        <v/>
      </c>
      <c r="C71" s="470">
        <f>IF(D11="","-",+C70+1)</f>
        <v>2066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2"/>
        <v>0</v>
      </c>
      <c r="G71" s="484">
        <f t="shared" si="20"/>
        <v>0</v>
      </c>
      <c r="H71" s="453">
        <f t="shared" si="21"/>
        <v>0</v>
      </c>
      <c r="I71" s="473">
        <f t="shared" si="23"/>
        <v>0</v>
      </c>
      <c r="J71" s="473"/>
      <c r="K71" s="485"/>
      <c r="L71" s="476">
        <f t="shared" si="24"/>
        <v>0</v>
      </c>
      <c r="M71" s="485"/>
      <c r="N71" s="476">
        <f t="shared" si="25"/>
        <v>0</v>
      </c>
      <c r="O71" s="476">
        <f t="shared" si="26"/>
        <v>0</v>
      </c>
      <c r="P71" s="241"/>
    </row>
    <row r="72" spans="2:16" ht="13" thickBot="1">
      <c r="B72" s="160" t="str">
        <f t="shared" si="27"/>
        <v/>
      </c>
      <c r="C72" s="487">
        <f>IF(D11="","-",+C71+1)</f>
        <v>2067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2"/>
        <v>0</v>
      </c>
      <c r="G72" s="488">
        <f t="shared" si="20"/>
        <v>0</v>
      </c>
      <c r="H72" s="488">
        <f t="shared" si="21"/>
        <v>0</v>
      </c>
      <c r="I72" s="491">
        <f t="shared" si="23"/>
        <v>0</v>
      </c>
      <c r="J72" s="473"/>
      <c r="K72" s="492"/>
      <c r="L72" s="493">
        <f t="shared" si="24"/>
        <v>0</v>
      </c>
      <c r="M72" s="492"/>
      <c r="N72" s="493">
        <f t="shared" si="25"/>
        <v>0</v>
      </c>
      <c r="O72" s="493">
        <f t="shared" si="26"/>
        <v>0</v>
      </c>
      <c r="P72" s="241"/>
    </row>
    <row r="73" spans="2:16" ht="12.5">
      <c r="C73" s="345" t="s">
        <v>77</v>
      </c>
      <c r="D73" s="346"/>
      <c r="E73" s="346">
        <f>SUM(E17:E72)</f>
        <v>3305767.0000000009</v>
      </c>
      <c r="F73" s="346"/>
      <c r="G73" s="346">
        <f>SUM(G17:G72)</f>
        <v>11920641.273924785</v>
      </c>
      <c r="H73" s="346">
        <f>SUM(H17:H72)</f>
        <v>11920641.273924785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12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385776.25641025638</v>
      </c>
      <c r="N87" s="506">
        <f>IF(J92&lt;D11,0,VLOOKUP(J92,C17:O72,11))</f>
        <v>385776.25641025638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375720.69601794594</v>
      </c>
      <c r="N88" s="510">
        <f>IF(J92&lt;D11,0,VLOOKUP(J92,C99:P154,7))</f>
        <v>375720.69601794594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Canadian River - McAlester City 138 kV Line Conversion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-10055.560392310435</v>
      </c>
      <c r="N89" s="515">
        <f>+N88-N87</f>
        <v>-10055.560392310435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TP2009095-PSO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+D10</f>
        <v>3305767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699">
        <f>D11</f>
        <v>2012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v>8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86994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468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2012</v>
      </c>
      <c r="D99" s="576">
        <f>IF(D93=C99,0,D92)</f>
        <v>0</v>
      </c>
      <c r="E99" s="577">
        <v>1616</v>
      </c>
      <c r="F99" s="578">
        <v>502209</v>
      </c>
      <c r="G99" s="579">
        <v>251209</v>
      </c>
      <c r="H99" s="580">
        <v>37753</v>
      </c>
      <c r="I99" s="581">
        <v>37753</v>
      </c>
      <c r="J99" s="476">
        <f t="shared" ref="J99:J130" si="28">+I99-H99</f>
        <v>0</v>
      </c>
      <c r="K99" s="572"/>
      <c r="L99" s="565">
        <f t="shared" ref="L99:L104" si="29">H99</f>
        <v>37753</v>
      </c>
      <c r="M99" s="573">
        <f t="shared" ref="M99:M104" si="30">IF(L99&lt;&gt;0,+H99-L99,0)</f>
        <v>0</v>
      </c>
      <c r="N99" s="565">
        <f t="shared" ref="N99:N104" si="31">I99</f>
        <v>37753</v>
      </c>
      <c r="O99" s="347">
        <f t="shared" ref="O99:O104" si="32">IF(N99&lt;&gt;0,+I99-N99,0)</f>
        <v>0</v>
      </c>
      <c r="P99" s="475">
        <f t="shared" ref="P99:P104" si="33">+O99-M99</f>
        <v>0</v>
      </c>
    </row>
    <row r="100" spans="1:16" ht="12.5">
      <c r="B100" s="160" t="str">
        <f t="shared" ref="B100:B131" si="34">IF(D100=F99,"","IU")</f>
        <v>IU</v>
      </c>
      <c r="C100" s="470">
        <f>IF(D93="","-",+C99+1)</f>
        <v>2013</v>
      </c>
      <c r="D100" s="582">
        <v>3240518</v>
      </c>
      <c r="E100" s="583">
        <v>62349</v>
      </c>
      <c r="F100" s="584">
        <v>3178169</v>
      </c>
      <c r="G100" s="584">
        <v>3209343.5</v>
      </c>
      <c r="H100" s="583">
        <v>524300.60020262119</v>
      </c>
      <c r="I100" s="585">
        <v>524300.60020262119</v>
      </c>
      <c r="J100" s="476">
        <v>0</v>
      </c>
      <c r="K100" s="572"/>
      <c r="L100" s="538">
        <f t="shared" si="29"/>
        <v>524300.60020262119</v>
      </c>
      <c r="M100" s="573">
        <f t="shared" si="30"/>
        <v>0</v>
      </c>
      <c r="N100" s="538">
        <f t="shared" si="31"/>
        <v>524300.60020262119</v>
      </c>
      <c r="O100" s="347">
        <f t="shared" si="32"/>
        <v>0</v>
      </c>
      <c r="P100" s="476">
        <f t="shared" si="33"/>
        <v>0</v>
      </c>
    </row>
    <row r="101" spans="1:16" ht="12.5">
      <c r="B101" s="160" t="str">
        <f t="shared" si="34"/>
        <v>IU</v>
      </c>
      <c r="C101" s="470">
        <f>IF(D93="","-",+C100+1)</f>
        <v>2014</v>
      </c>
      <c r="D101" s="582">
        <v>3241802.14</v>
      </c>
      <c r="E101" s="583">
        <v>63572</v>
      </c>
      <c r="F101" s="584">
        <v>3178230.14</v>
      </c>
      <c r="G101" s="584">
        <v>3210016.14</v>
      </c>
      <c r="H101" s="583">
        <v>514887.14751698606</v>
      </c>
      <c r="I101" s="585">
        <v>514887.14751698606</v>
      </c>
      <c r="J101" s="476">
        <v>0</v>
      </c>
      <c r="K101" s="572"/>
      <c r="L101" s="538">
        <f t="shared" si="29"/>
        <v>514887.14751698606</v>
      </c>
      <c r="M101" s="573">
        <f t="shared" si="30"/>
        <v>0</v>
      </c>
      <c r="N101" s="538">
        <f t="shared" si="31"/>
        <v>514887.14751698606</v>
      </c>
      <c r="O101" s="347">
        <f t="shared" si="32"/>
        <v>0</v>
      </c>
      <c r="P101" s="476">
        <f t="shared" si="33"/>
        <v>0</v>
      </c>
    </row>
    <row r="102" spans="1:16" ht="12.5">
      <c r="B102" s="160" t="str">
        <f t="shared" si="34"/>
        <v/>
      </c>
      <c r="C102" s="470">
        <f>IF(D93="","-",+C101+1)</f>
        <v>2015</v>
      </c>
      <c r="D102" s="582">
        <v>3178230.14</v>
      </c>
      <c r="E102" s="583">
        <v>63572</v>
      </c>
      <c r="F102" s="584">
        <v>3114658.14</v>
      </c>
      <c r="G102" s="584">
        <v>3146444.14</v>
      </c>
      <c r="H102" s="583">
        <v>492879.0042454137</v>
      </c>
      <c r="I102" s="585">
        <v>492879.0042454137</v>
      </c>
      <c r="J102" s="476">
        <f t="shared" si="28"/>
        <v>0</v>
      </c>
      <c r="K102" s="476"/>
      <c r="L102" s="538">
        <f t="shared" si="29"/>
        <v>492879.0042454137</v>
      </c>
      <c r="M102" s="573">
        <f t="shared" si="30"/>
        <v>0</v>
      </c>
      <c r="N102" s="538">
        <f t="shared" si="31"/>
        <v>492879.0042454137</v>
      </c>
      <c r="O102" s="347">
        <f t="shared" si="32"/>
        <v>0</v>
      </c>
      <c r="P102" s="476">
        <f t="shared" si="33"/>
        <v>0</v>
      </c>
    </row>
    <row r="103" spans="1:16" ht="12.5">
      <c r="B103" s="160" t="str">
        <f t="shared" si="34"/>
        <v/>
      </c>
      <c r="C103" s="470">
        <f>IF(D93="","-",+C102+1)</f>
        <v>2016</v>
      </c>
      <c r="D103" s="582">
        <v>3114658.14</v>
      </c>
      <c r="E103" s="583">
        <v>71865</v>
      </c>
      <c r="F103" s="584">
        <v>3042793.14</v>
      </c>
      <c r="G103" s="584">
        <v>3078725.64</v>
      </c>
      <c r="H103" s="583">
        <v>468761.221459263</v>
      </c>
      <c r="I103" s="585">
        <v>468761.221459263</v>
      </c>
      <c r="J103" s="476">
        <f t="shared" si="28"/>
        <v>0</v>
      </c>
      <c r="K103" s="476"/>
      <c r="L103" s="538">
        <f t="shared" si="29"/>
        <v>468761.221459263</v>
      </c>
      <c r="M103" s="573">
        <f t="shared" si="30"/>
        <v>0</v>
      </c>
      <c r="N103" s="538">
        <f t="shared" si="31"/>
        <v>468761.221459263</v>
      </c>
      <c r="O103" s="347">
        <f t="shared" si="32"/>
        <v>0</v>
      </c>
      <c r="P103" s="476">
        <f t="shared" si="33"/>
        <v>0</v>
      </c>
    </row>
    <row r="104" spans="1:16" ht="12.5">
      <c r="B104" s="160" t="str">
        <f t="shared" si="34"/>
        <v/>
      </c>
      <c r="C104" s="470">
        <f>IF(D93="","-",+C103+1)</f>
        <v>2017</v>
      </c>
      <c r="D104" s="582">
        <v>3042793.14</v>
      </c>
      <c r="E104" s="583">
        <v>71865</v>
      </c>
      <c r="F104" s="584">
        <v>2970928.14</v>
      </c>
      <c r="G104" s="584">
        <v>3006860.64</v>
      </c>
      <c r="H104" s="583">
        <v>453292.85398579738</v>
      </c>
      <c r="I104" s="585">
        <v>453292.85398579738</v>
      </c>
      <c r="J104" s="476">
        <f t="shared" si="28"/>
        <v>0</v>
      </c>
      <c r="K104" s="476"/>
      <c r="L104" s="538">
        <f t="shared" si="29"/>
        <v>453292.85398579738</v>
      </c>
      <c r="M104" s="573">
        <f t="shared" si="30"/>
        <v>0</v>
      </c>
      <c r="N104" s="538">
        <f t="shared" si="31"/>
        <v>453292.85398579738</v>
      </c>
      <c r="O104" s="347">
        <f t="shared" si="32"/>
        <v>0</v>
      </c>
      <c r="P104" s="476">
        <f t="shared" si="33"/>
        <v>0</v>
      </c>
    </row>
    <row r="105" spans="1:16" ht="12.5">
      <c r="B105" s="160" t="str">
        <f t="shared" si="34"/>
        <v/>
      </c>
      <c r="C105" s="470">
        <f>IF(D93="","-",+C104+1)</f>
        <v>2018</v>
      </c>
      <c r="D105" s="582">
        <v>2970928.14</v>
      </c>
      <c r="E105" s="583">
        <v>76878</v>
      </c>
      <c r="F105" s="584">
        <v>2894050.14</v>
      </c>
      <c r="G105" s="584">
        <v>2932489.14</v>
      </c>
      <c r="H105" s="583">
        <v>378148.93401168124</v>
      </c>
      <c r="I105" s="585">
        <v>378148.93401168124</v>
      </c>
      <c r="J105" s="476">
        <f t="shared" si="28"/>
        <v>0</v>
      </c>
      <c r="K105" s="476"/>
      <c r="L105" s="538">
        <f t="shared" ref="L105" si="35">H105</f>
        <v>378148.93401168124</v>
      </c>
      <c r="M105" s="573">
        <f t="shared" ref="M105" si="36">IF(L105&lt;&gt;0,+H105-L105,0)</f>
        <v>0</v>
      </c>
      <c r="N105" s="538">
        <f t="shared" ref="N105" si="37">I105</f>
        <v>378148.93401168124</v>
      </c>
      <c r="O105" s="347">
        <f t="shared" ref="O105" si="38">IF(N105&lt;&gt;0,+I105-N105,0)</f>
        <v>0</v>
      </c>
      <c r="P105" s="476">
        <f t="shared" ref="P105" si="39">+O105-M105</f>
        <v>0</v>
      </c>
    </row>
    <row r="106" spans="1:16" ht="12.5">
      <c r="B106" s="160" t="str">
        <f t="shared" si="34"/>
        <v/>
      </c>
      <c r="C106" s="470">
        <f>IF(D93="","-",+C105+1)</f>
        <v>2019</v>
      </c>
      <c r="D106" s="582">
        <v>2894050.14</v>
      </c>
      <c r="E106" s="583">
        <v>80628</v>
      </c>
      <c r="F106" s="584">
        <v>2813422.14</v>
      </c>
      <c r="G106" s="584">
        <v>2853736.14</v>
      </c>
      <c r="H106" s="583">
        <v>374888.22276719729</v>
      </c>
      <c r="I106" s="585">
        <v>374888.22276719729</v>
      </c>
      <c r="J106" s="476">
        <f t="shared" si="28"/>
        <v>0</v>
      </c>
      <c r="K106" s="476"/>
      <c r="L106" s="538">
        <f t="shared" ref="L106" si="40">H106</f>
        <v>374888.22276719729</v>
      </c>
      <c r="M106" s="573">
        <f t="shared" ref="M106" si="41">IF(L106&lt;&gt;0,+H106-L106,0)</f>
        <v>0</v>
      </c>
      <c r="N106" s="538">
        <f t="shared" ref="N106" si="42">I106</f>
        <v>374888.22276719729</v>
      </c>
      <c r="O106" s="476">
        <f t="shared" ref="O106:O130" si="43">IF(N106&lt;&gt;0,+I106-N106,0)</f>
        <v>0</v>
      </c>
      <c r="P106" s="476">
        <f t="shared" ref="P106:P130" si="44">+O106-M106</f>
        <v>0</v>
      </c>
    </row>
    <row r="107" spans="1:16" ht="12.5">
      <c r="B107" s="160" t="str">
        <f t="shared" si="34"/>
        <v/>
      </c>
      <c r="C107" s="470">
        <f>IF(D93="","-",+C106+1)</f>
        <v>2020</v>
      </c>
      <c r="D107" s="582">
        <v>2813422.14</v>
      </c>
      <c r="E107" s="583">
        <v>76878</v>
      </c>
      <c r="F107" s="584">
        <v>2736544.14</v>
      </c>
      <c r="G107" s="584">
        <v>2774983.14</v>
      </c>
      <c r="H107" s="583">
        <v>396825.92685492127</v>
      </c>
      <c r="I107" s="585">
        <v>396825.92685492127</v>
      </c>
      <c r="J107" s="476">
        <f t="shared" si="28"/>
        <v>0</v>
      </c>
      <c r="K107" s="476"/>
      <c r="L107" s="538">
        <f t="shared" ref="L107" si="45">H107</f>
        <v>396825.92685492127</v>
      </c>
      <c r="M107" s="573">
        <f t="shared" ref="M107" si="46">IF(L107&lt;&gt;0,+H107-L107,0)</f>
        <v>0</v>
      </c>
      <c r="N107" s="538">
        <f t="shared" ref="N107" si="47">I107</f>
        <v>396825.92685492127</v>
      </c>
      <c r="O107" s="476">
        <f t="shared" si="43"/>
        <v>0</v>
      </c>
      <c r="P107" s="476">
        <f t="shared" si="44"/>
        <v>0</v>
      </c>
    </row>
    <row r="108" spans="1:16" ht="12.5">
      <c r="B108" s="160" t="str">
        <f t="shared" si="34"/>
        <v/>
      </c>
      <c r="C108" s="470">
        <f>IF(D93="","-",+C107+1)</f>
        <v>2021</v>
      </c>
      <c r="D108" s="582">
        <v>2736544.14</v>
      </c>
      <c r="E108" s="583">
        <v>80628</v>
      </c>
      <c r="F108" s="584">
        <v>2655916.14</v>
      </c>
      <c r="G108" s="584">
        <v>2696230.14</v>
      </c>
      <c r="H108" s="583">
        <v>387439.55828621471</v>
      </c>
      <c r="I108" s="585">
        <v>387439.55828621471</v>
      </c>
      <c r="J108" s="476">
        <f t="shared" si="28"/>
        <v>0</v>
      </c>
      <c r="K108" s="476"/>
      <c r="L108" s="538">
        <f t="shared" ref="L108" si="48">H108</f>
        <v>387439.55828621471</v>
      </c>
      <c r="M108" s="573">
        <f t="shared" ref="M108" si="49">IF(L108&lt;&gt;0,+H108-L108,0)</f>
        <v>0</v>
      </c>
      <c r="N108" s="538">
        <f t="shared" ref="N108" si="50">I108</f>
        <v>387439.55828621471</v>
      </c>
      <c r="O108" s="476">
        <f t="shared" si="43"/>
        <v>0</v>
      </c>
      <c r="P108" s="476">
        <f t="shared" si="44"/>
        <v>0</v>
      </c>
    </row>
    <row r="109" spans="1:16" ht="12.5">
      <c r="B109" s="160" t="str">
        <f t="shared" si="34"/>
        <v/>
      </c>
      <c r="C109" s="470">
        <f>IF(D93="","-",+C108+1)</f>
        <v>2022</v>
      </c>
      <c r="D109" s="582">
        <v>2655916.14</v>
      </c>
      <c r="E109" s="583">
        <v>84763</v>
      </c>
      <c r="F109" s="584">
        <v>2571153.14</v>
      </c>
      <c r="G109" s="584">
        <v>2613534.64</v>
      </c>
      <c r="H109" s="583">
        <v>372729.18001760636</v>
      </c>
      <c r="I109" s="585">
        <v>372729.18001760636</v>
      </c>
      <c r="J109" s="476">
        <f t="shared" si="28"/>
        <v>0</v>
      </c>
      <c r="K109" s="476"/>
      <c r="L109" s="538">
        <f t="shared" ref="L109" si="51">H109</f>
        <v>372729.18001760636</v>
      </c>
      <c r="M109" s="573">
        <f t="shared" ref="M109" si="52">IF(L109&lt;&gt;0,+H109-L109,0)</f>
        <v>0</v>
      </c>
      <c r="N109" s="538">
        <f t="shared" ref="N109" si="53">I109</f>
        <v>372729.18001760636</v>
      </c>
      <c r="O109" s="476">
        <f t="shared" ref="O109" si="54">IF(N109&lt;&gt;0,+I109-N109,0)</f>
        <v>0</v>
      </c>
      <c r="P109" s="476">
        <f t="shared" ref="P109" si="55">+O109-M109</f>
        <v>0</v>
      </c>
    </row>
    <row r="110" spans="1:16" ht="12.5">
      <c r="B110" s="160" t="str">
        <f t="shared" si="34"/>
        <v>IU</v>
      </c>
      <c r="C110" s="470">
        <f>IF(D93="","-",+C109+1)</f>
        <v>2023</v>
      </c>
      <c r="D110" s="345">
        <f>IF(F109+SUM(E$99:E109)=D$92,F109,D$92-SUM(E$99:E109))</f>
        <v>2571153</v>
      </c>
      <c r="E110" s="484">
        <f t="shared" ref="E110:E154" si="56">IF(+J$96&lt;F109,J$96,D110)</f>
        <v>86994</v>
      </c>
      <c r="F110" s="483">
        <f t="shared" ref="F110:F154" si="57">+D110-E110</f>
        <v>2484159</v>
      </c>
      <c r="G110" s="483">
        <f t="shared" ref="G110:G154" si="58">+(F110+D110)/2</f>
        <v>2527656</v>
      </c>
      <c r="H110" s="484">
        <f t="shared" ref="H110:H153" si="59">(D110+F110)/2*J$94+E110</f>
        <v>375720.69601794594</v>
      </c>
      <c r="I110" s="540">
        <f t="shared" ref="I110:I153" si="60">+J$95*G110+E110</f>
        <v>375720.69601794594</v>
      </c>
      <c r="J110" s="476">
        <f t="shared" si="28"/>
        <v>0</v>
      </c>
      <c r="K110" s="476"/>
      <c r="L110" s="485"/>
      <c r="M110" s="476">
        <f t="shared" ref="M110:M130" si="61">IF(L110&lt;&gt;0,+H110-L110,0)</f>
        <v>0</v>
      </c>
      <c r="N110" s="485"/>
      <c r="O110" s="476">
        <f t="shared" si="43"/>
        <v>0</v>
      </c>
      <c r="P110" s="476">
        <f t="shared" si="44"/>
        <v>0</v>
      </c>
    </row>
    <row r="111" spans="1:16" ht="12.5">
      <c r="B111" s="160" t="str">
        <f t="shared" si="34"/>
        <v/>
      </c>
      <c r="C111" s="470">
        <f>IF(D93="","-",+C110+1)</f>
        <v>2024</v>
      </c>
      <c r="D111" s="345">
        <f>IF(F110+SUM(E$99:E110)=D$92,F110,D$92-SUM(E$99:E110))</f>
        <v>2484159</v>
      </c>
      <c r="E111" s="484">
        <f t="shared" si="56"/>
        <v>86994</v>
      </c>
      <c r="F111" s="483">
        <f t="shared" si="57"/>
        <v>2397165</v>
      </c>
      <c r="G111" s="483">
        <f t="shared" si="58"/>
        <v>2440662</v>
      </c>
      <c r="H111" s="484">
        <f t="shared" si="59"/>
        <v>365783.62776443944</v>
      </c>
      <c r="I111" s="540">
        <f t="shared" si="60"/>
        <v>365783.62776443944</v>
      </c>
      <c r="J111" s="476">
        <f t="shared" si="28"/>
        <v>0</v>
      </c>
      <c r="K111" s="476"/>
      <c r="L111" s="485"/>
      <c r="M111" s="476">
        <f t="shared" si="61"/>
        <v>0</v>
      </c>
      <c r="N111" s="485"/>
      <c r="O111" s="476">
        <f t="shared" si="43"/>
        <v>0</v>
      </c>
      <c r="P111" s="476">
        <f t="shared" si="44"/>
        <v>0</v>
      </c>
    </row>
    <row r="112" spans="1:16" ht="12.5">
      <c r="B112" s="160" t="str">
        <f t="shared" si="34"/>
        <v/>
      </c>
      <c r="C112" s="470">
        <f>IF(D93="","-",+C111+1)</f>
        <v>2025</v>
      </c>
      <c r="D112" s="345">
        <f>IF(F111+SUM(E$99:E111)=D$92,F111,D$92-SUM(E$99:E111))</f>
        <v>2397165</v>
      </c>
      <c r="E112" s="484">
        <f t="shared" si="56"/>
        <v>86994</v>
      </c>
      <c r="F112" s="483">
        <f t="shared" si="57"/>
        <v>2310171</v>
      </c>
      <c r="G112" s="483">
        <f t="shared" si="58"/>
        <v>2353668</v>
      </c>
      <c r="H112" s="484">
        <f t="shared" si="59"/>
        <v>355846.55951093294</v>
      </c>
      <c r="I112" s="540">
        <f t="shared" si="60"/>
        <v>355846.55951093294</v>
      </c>
      <c r="J112" s="476">
        <f t="shared" si="28"/>
        <v>0</v>
      </c>
      <c r="K112" s="476"/>
      <c r="L112" s="485"/>
      <c r="M112" s="476">
        <f t="shared" si="61"/>
        <v>0</v>
      </c>
      <c r="N112" s="485"/>
      <c r="O112" s="476">
        <f t="shared" si="43"/>
        <v>0</v>
      </c>
      <c r="P112" s="476">
        <f t="shared" si="44"/>
        <v>0</v>
      </c>
    </row>
    <row r="113" spans="2:16" ht="12.5">
      <c r="B113" s="160" t="str">
        <f t="shared" si="34"/>
        <v/>
      </c>
      <c r="C113" s="470">
        <f>IF(D93="","-",+C112+1)</f>
        <v>2026</v>
      </c>
      <c r="D113" s="345">
        <f>IF(F112+SUM(E$99:E112)=D$92,F112,D$92-SUM(E$99:E112))</f>
        <v>2310171</v>
      </c>
      <c r="E113" s="484">
        <f t="shared" si="56"/>
        <v>86994</v>
      </c>
      <c r="F113" s="483">
        <f t="shared" si="57"/>
        <v>2223177</v>
      </c>
      <c r="G113" s="483">
        <f t="shared" si="58"/>
        <v>2266674</v>
      </c>
      <c r="H113" s="484">
        <f t="shared" si="59"/>
        <v>345909.49125742645</v>
      </c>
      <c r="I113" s="540">
        <f t="shared" si="60"/>
        <v>345909.49125742645</v>
      </c>
      <c r="J113" s="476">
        <f t="shared" si="28"/>
        <v>0</v>
      </c>
      <c r="K113" s="476"/>
      <c r="L113" s="485"/>
      <c r="M113" s="476">
        <f t="shared" si="61"/>
        <v>0</v>
      </c>
      <c r="N113" s="485"/>
      <c r="O113" s="476">
        <f t="shared" si="43"/>
        <v>0</v>
      </c>
      <c r="P113" s="476">
        <f t="shared" si="44"/>
        <v>0</v>
      </c>
    </row>
    <row r="114" spans="2:16" ht="12.5">
      <c r="B114" s="160" t="str">
        <f t="shared" si="34"/>
        <v/>
      </c>
      <c r="C114" s="470">
        <f>IF(D93="","-",+C113+1)</f>
        <v>2027</v>
      </c>
      <c r="D114" s="345">
        <f>IF(F113+SUM(E$99:E113)=D$92,F113,D$92-SUM(E$99:E113))</f>
        <v>2223177</v>
      </c>
      <c r="E114" s="484">
        <f t="shared" si="56"/>
        <v>86994</v>
      </c>
      <c r="F114" s="483">
        <f t="shared" si="57"/>
        <v>2136183</v>
      </c>
      <c r="G114" s="483">
        <f t="shared" si="58"/>
        <v>2179680</v>
      </c>
      <c r="H114" s="484">
        <f t="shared" si="59"/>
        <v>335972.42300392</v>
      </c>
      <c r="I114" s="540">
        <f t="shared" si="60"/>
        <v>335972.42300392</v>
      </c>
      <c r="J114" s="476">
        <f t="shared" si="28"/>
        <v>0</v>
      </c>
      <c r="K114" s="476"/>
      <c r="L114" s="485"/>
      <c r="M114" s="476">
        <f t="shared" si="61"/>
        <v>0</v>
      </c>
      <c r="N114" s="485"/>
      <c r="O114" s="476">
        <f t="shared" si="43"/>
        <v>0</v>
      </c>
      <c r="P114" s="476">
        <f t="shared" si="44"/>
        <v>0</v>
      </c>
    </row>
    <row r="115" spans="2:16" ht="12.5">
      <c r="B115" s="160" t="str">
        <f t="shared" si="34"/>
        <v/>
      </c>
      <c r="C115" s="470">
        <f>IF(D93="","-",+C114+1)</f>
        <v>2028</v>
      </c>
      <c r="D115" s="345">
        <f>IF(F114+SUM(E$99:E114)=D$92,F114,D$92-SUM(E$99:E114))</f>
        <v>2136183</v>
      </c>
      <c r="E115" s="484">
        <f t="shared" si="56"/>
        <v>86994</v>
      </c>
      <c r="F115" s="483">
        <f t="shared" si="57"/>
        <v>2049189</v>
      </c>
      <c r="G115" s="483">
        <f t="shared" si="58"/>
        <v>2092686</v>
      </c>
      <c r="H115" s="484">
        <f t="shared" si="59"/>
        <v>326035.35475041351</v>
      </c>
      <c r="I115" s="540">
        <f t="shared" si="60"/>
        <v>326035.35475041351</v>
      </c>
      <c r="J115" s="476">
        <f t="shared" si="28"/>
        <v>0</v>
      </c>
      <c r="K115" s="476"/>
      <c r="L115" s="485"/>
      <c r="M115" s="476">
        <f t="shared" si="61"/>
        <v>0</v>
      </c>
      <c r="N115" s="485"/>
      <c r="O115" s="476">
        <f t="shared" si="43"/>
        <v>0</v>
      </c>
      <c r="P115" s="476">
        <f t="shared" si="44"/>
        <v>0</v>
      </c>
    </row>
    <row r="116" spans="2:16" ht="12.5">
      <c r="B116" s="160" t="str">
        <f t="shared" si="34"/>
        <v/>
      </c>
      <c r="C116" s="470">
        <f>IF(D93="","-",+C115+1)</f>
        <v>2029</v>
      </c>
      <c r="D116" s="345">
        <f>IF(F115+SUM(E$99:E115)=D$92,F115,D$92-SUM(E$99:E115))</f>
        <v>2049189</v>
      </c>
      <c r="E116" s="484">
        <f t="shared" si="56"/>
        <v>86994</v>
      </c>
      <c r="F116" s="483">
        <f t="shared" si="57"/>
        <v>1962195</v>
      </c>
      <c r="G116" s="483">
        <f t="shared" si="58"/>
        <v>2005692</v>
      </c>
      <c r="H116" s="484">
        <f t="shared" si="59"/>
        <v>316098.28649690701</v>
      </c>
      <c r="I116" s="540">
        <f t="shared" si="60"/>
        <v>316098.28649690701</v>
      </c>
      <c r="J116" s="476">
        <f t="shared" si="28"/>
        <v>0</v>
      </c>
      <c r="K116" s="476"/>
      <c r="L116" s="485"/>
      <c r="M116" s="476">
        <f t="shared" si="61"/>
        <v>0</v>
      </c>
      <c r="N116" s="485"/>
      <c r="O116" s="476">
        <f t="shared" si="43"/>
        <v>0</v>
      </c>
      <c r="P116" s="476">
        <f t="shared" si="44"/>
        <v>0</v>
      </c>
    </row>
    <row r="117" spans="2:16" ht="12.5">
      <c r="B117" s="160" t="str">
        <f t="shared" si="34"/>
        <v/>
      </c>
      <c r="C117" s="470">
        <f>IF(D93="","-",+C116+1)</f>
        <v>2030</v>
      </c>
      <c r="D117" s="345">
        <f>IF(F116+SUM(E$99:E116)=D$92,F116,D$92-SUM(E$99:E116))</f>
        <v>1962195</v>
      </c>
      <c r="E117" s="484">
        <f t="shared" si="56"/>
        <v>86994</v>
      </c>
      <c r="F117" s="483">
        <f t="shared" si="57"/>
        <v>1875201</v>
      </c>
      <c r="G117" s="483">
        <f t="shared" si="58"/>
        <v>1918698</v>
      </c>
      <c r="H117" s="484">
        <f t="shared" si="59"/>
        <v>306161.21824340057</v>
      </c>
      <c r="I117" s="540">
        <f t="shared" si="60"/>
        <v>306161.21824340057</v>
      </c>
      <c r="J117" s="476">
        <f t="shared" si="28"/>
        <v>0</v>
      </c>
      <c r="K117" s="476"/>
      <c r="L117" s="485"/>
      <c r="M117" s="476">
        <f t="shared" si="61"/>
        <v>0</v>
      </c>
      <c r="N117" s="485"/>
      <c r="O117" s="476">
        <f t="shared" si="43"/>
        <v>0</v>
      </c>
      <c r="P117" s="476">
        <f t="shared" si="44"/>
        <v>0</v>
      </c>
    </row>
    <row r="118" spans="2:16" ht="12.5">
      <c r="B118" s="160" t="str">
        <f t="shared" si="34"/>
        <v/>
      </c>
      <c r="C118" s="470">
        <f>IF(D93="","-",+C117+1)</f>
        <v>2031</v>
      </c>
      <c r="D118" s="345">
        <f>IF(F117+SUM(E$99:E117)=D$92,F117,D$92-SUM(E$99:E117))</f>
        <v>1875201</v>
      </c>
      <c r="E118" s="484">
        <f t="shared" si="56"/>
        <v>86994</v>
      </c>
      <c r="F118" s="483">
        <f t="shared" si="57"/>
        <v>1788207</v>
      </c>
      <c r="G118" s="483">
        <f t="shared" si="58"/>
        <v>1831704</v>
      </c>
      <c r="H118" s="484">
        <f t="shared" si="59"/>
        <v>296224.14998989401</v>
      </c>
      <c r="I118" s="540">
        <f t="shared" si="60"/>
        <v>296224.14998989401</v>
      </c>
      <c r="J118" s="476">
        <f t="shared" si="28"/>
        <v>0</v>
      </c>
      <c r="K118" s="476"/>
      <c r="L118" s="485"/>
      <c r="M118" s="476">
        <f t="shared" si="61"/>
        <v>0</v>
      </c>
      <c r="N118" s="485"/>
      <c r="O118" s="476">
        <f t="shared" si="43"/>
        <v>0</v>
      </c>
      <c r="P118" s="476">
        <f t="shared" si="44"/>
        <v>0</v>
      </c>
    </row>
    <row r="119" spans="2:16" ht="12.5">
      <c r="B119" s="160" t="str">
        <f t="shared" si="34"/>
        <v/>
      </c>
      <c r="C119" s="470">
        <f>IF(D93="","-",+C118+1)</f>
        <v>2032</v>
      </c>
      <c r="D119" s="345">
        <f>IF(F118+SUM(E$99:E118)=D$92,F118,D$92-SUM(E$99:E118))</f>
        <v>1788207</v>
      </c>
      <c r="E119" s="484">
        <f t="shared" si="56"/>
        <v>86994</v>
      </c>
      <c r="F119" s="483">
        <f t="shared" si="57"/>
        <v>1701213</v>
      </c>
      <c r="G119" s="483">
        <f t="shared" si="58"/>
        <v>1744710</v>
      </c>
      <c r="H119" s="484">
        <f t="shared" si="59"/>
        <v>286287.08173638757</v>
      </c>
      <c r="I119" s="540">
        <f t="shared" si="60"/>
        <v>286287.08173638757</v>
      </c>
      <c r="J119" s="476">
        <f t="shared" si="28"/>
        <v>0</v>
      </c>
      <c r="K119" s="476"/>
      <c r="L119" s="485"/>
      <c r="M119" s="476">
        <f t="shared" si="61"/>
        <v>0</v>
      </c>
      <c r="N119" s="485"/>
      <c r="O119" s="476">
        <f t="shared" si="43"/>
        <v>0</v>
      </c>
      <c r="P119" s="476">
        <f t="shared" si="44"/>
        <v>0</v>
      </c>
    </row>
    <row r="120" spans="2:16" ht="12.5">
      <c r="B120" s="160" t="str">
        <f t="shared" si="34"/>
        <v/>
      </c>
      <c r="C120" s="470">
        <f>IF(D93="","-",+C119+1)</f>
        <v>2033</v>
      </c>
      <c r="D120" s="345">
        <f>IF(F119+SUM(E$99:E119)=D$92,F119,D$92-SUM(E$99:E119))</f>
        <v>1701213</v>
      </c>
      <c r="E120" s="484">
        <f t="shared" si="56"/>
        <v>86994</v>
      </c>
      <c r="F120" s="483">
        <f t="shared" si="57"/>
        <v>1614219</v>
      </c>
      <c r="G120" s="483">
        <f t="shared" si="58"/>
        <v>1657716</v>
      </c>
      <c r="H120" s="484">
        <f t="shared" si="59"/>
        <v>276350.01348288107</v>
      </c>
      <c r="I120" s="540">
        <f t="shared" si="60"/>
        <v>276350.01348288107</v>
      </c>
      <c r="J120" s="476">
        <f t="shared" si="28"/>
        <v>0</v>
      </c>
      <c r="K120" s="476"/>
      <c r="L120" s="485"/>
      <c r="M120" s="476">
        <f t="shared" si="61"/>
        <v>0</v>
      </c>
      <c r="N120" s="485"/>
      <c r="O120" s="476">
        <f t="shared" si="43"/>
        <v>0</v>
      </c>
      <c r="P120" s="476">
        <f t="shared" si="44"/>
        <v>0</v>
      </c>
    </row>
    <row r="121" spans="2:16" ht="12.5">
      <c r="B121" s="160" t="str">
        <f t="shared" si="34"/>
        <v/>
      </c>
      <c r="C121" s="470">
        <f>IF(D93="","-",+C120+1)</f>
        <v>2034</v>
      </c>
      <c r="D121" s="345">
        <f>IF(F120+SUM(E$99:E120)=D$92,F120,D$92-SUM(E$99:E120))</f>
        <v>1614219</v>
      </c>
      <c r="E121" s="484">
        <f t="shared" si="56"/>
        <v>86994</v>
      </c>
      <c r="F121" s="483">
        <f t="shared" si="57"/>
        <v>1527225</v>
      </c>
      <c r="G121" s="483">
        <f t="shared" si="58"/>
        <v>1570722</v>
      </c>
      <c r="H121" s="484">
        <f t="shared" si="59"/>
        <v>266412.94522937457</v>
      </c>
      <c r="I121" s="540">
        <f t="shared" si="60"/>
        <v>266412.94522937457</v>
      </c>
      <c r="J121" s="476">
        <f t="shared" si="28"/>
        <v>0</v>
      </c>
      <c r="K121" s="476"/>
      <c r="L121" s="485"/>
      <c r="M121" s="476">
        <f t="shared" si="61"/>
        <v>0</v>
      </c>
      <c r="N121" s="485"/>
      <c r="O121" s="476">
        <f t="shared" si="43"/>
        <v>0</v>
      </c>
      <c r="P121" s="476">
        <f t="shared" si="44"/>
        <v>0</v>
      </c>
    </row>
    <row r="122" spans="2:16" ht="12.5">
      <c r="B122" s="160" t="str">
        <f t="shared" si="34"/>
        <v/>
      </c>
      <c r="C122" s="470">
        <f>IF(D93="","-",+C121+1)</f>
        <v>2035</v>
      </c>
      <c r="D122" s="345">
        <f>IF(F121+SUM(E$99:E121)=D$92,F121,D$92-SUM(E$99:E121))</f>
        <v>1527225</v>
      </c>
      <c r="E122" s="484">
        <f t="shared" si="56"/>
        <v>86994</v>
      </c>
      <c r="F122" s="483">
        <f t="shared" si="57"/>
        <v>1440231</v>
      </c>
      <c r="G122" s="483">
        <f t="shared" si="58"/>
        <v>1483728</v>
      </c>
      <c r="H122" s="484">
        <f t="shared" si="59"/>
        <v>256475.8769758681</v>
      </c>
      <c r="I122" s="540">
        <f t="shared" si="60"/>
        <v>256475.8769758681</v>
      </c>
      <c r="J122" s="476">
        <f t="shared" si="28"/>
        <v>0</v>
      </c>
      <c r="K122" s="476"/>
      <c r="L122" s="485"/>
      <c r="M122" s="476">
        <f t="shared" si="61"/>
        <v>0</v>
      </c>
      <c r="N122" s="485"/>
      <c r="O122" s="476">
        <f t="shared" si="43"/>
        <v>0</v>
      </c>
      <c r="P122" s="476">
        <f t="shared" si="44"/>
        <v>0</v>
      </c>
    </row>
    <row r="123" spans="2:16" ht="12.5">
      <c r="B123" s="160" t="str">
        <f t="shared" si="34"/>
        <v/>
      </c>
      <c r="C123" s="470">
        <f>IF(D93="","-",+C122+1)</f>
        <v>2036</v>
      </c>
      <c r="D123" s="345">
        <f>IF(F122+SUM(E$99:E122)=D$92,F122,D$92-SUM(E$99:E122))</f>
        <v>1440231</v>
      </c>
      <c r="E123" s="484">
        <f t="shared" si="56"/>
        <v>86994</v>
      </c>
      <c r="F123" s="483">
        <f t="shared" si="57"/>
        <v>1353237</v>
      </c>
      <c r="G123" s="483">
        <f t="shared" si="58"/>
        <v>1396734</v>
      </c>
      <c r="H123" s="484">
        <f t="shared" si="59"/>
        <v>246538.80872236163</v>
      </c>
      <c r="I123" s="540">
        <f t="shared" si="60"/>
        <v>246538.80872236163</v>
      </c>
      <c r="J123" s="476">
        <f t="shared" si="28"/>
        <v>0</v>
      </c>
      <c r="K123" s="476"/>
      <c r="L123" s="485"/>
      <c r="M123" s="476">
        <f t="shared" si="61"/>
        <v>0</v>
      </c>
      <c r="N123" s="485"/>
      <c r="O123" s="476">
        <f t="shared" si="43"/>
        <v>0</v>
      </c>
      <c r="P123" s="476">
        <f t="shared" si="44"/>
        <v>0</v>
      </c>
    </row>
    <row r="124" spans="2:16" ht="12.5">
      <c r="B124" s="160" t="str">
        <f t="shared" si="34"/>
        <v/>
      </c>
      <c r="C124" s="470">
        <f>IF(D93="","-",+C123+1)</f>
        <v>2037</v>
      </c>
      <c r="D124" s="345">
        <f>IF(F123+SUM(E$99:E123)=D$92,F123,D$92-SUM(E$99:E123))</f>
        <v>1353237</v>
      </c>
      <c r="E124" s="484">
        <f t="shared" si="56"/>
        <v>86994</v>
      </c>
      <c r="F124" s="483">
        <f t="shared" si="57"/>
        <v>1266243</v>
      </c>
      <c r="G124" s="483">
        <f t="shared" si="58"/>
        <v>1309740</v>
      </c>
      <c r="H124" s="484">
        <f t="shared" si="59"/>
        <v>236601.74046885513</v>
      </c>
      <c r="I124" s="540">
        <f t="shared" si="60"/>
        <v>236601.74046885513</v>
      </c>
      <c r="J124" s="476">
        <f t="shared" si="28"/>
        <v>0</v>
      </c>
      <c r="K124" s="476"/>
      <c r="L124" s="485"/>
      <c r="M124" s="476">
        <f t="shared" si="61"/>
        <v>0</v>
      </c>
      <c r="N124" s="485"/>
      <c r="O124" s="476">
        <f t="shared" si="43"/>
        <v>0</v>
      </c>
      <c r="P124" s="476">
        <f t="shared" si="44"/>
        <v>0</v>
      </c>
    </row>
    <row r="125" spans="2:16" ht="12.5">
      <c r="B125" s="160" t="str">
        <f t="shared" si="34"/>
        <v/>
      </c>
      <c r="C125" s="470">
        <f>IF(D93="","-",+C124+1)</f>
        <v>2038</v>
      </c>
      <c r="D125" s="345">
        <f>IF(F124+SUM(E$99:E124)=D$92,F124,D$92-SUM(E$99:E124))</f>
        <v>1266243</v>
      </c>
      <c r="E125" s="484">
        <f t="shared" si="56"/>
        <v>86994</v>
      </c>
      <c r="F125" s="483">
        <f t="shared" si="57"/>
        <v>1179249</v>
      </c>
      <c r="G125" s="483">
        <f t="shared" si="58"/>
        <v>1222746</v>
      </c>
      <c r="H125" s="484">
        <f t="shared" si="59"/>
        <v>226664.67221534866</v>
      </c>
      <c r="I125" s="540">
        <f t="shared" si="60"/>
        <v>226664.67221534866</v>
      </c>
      <c r="J125" s="476">
        <f t="shared" si="28"/>
        <v>0</v>
      </c>
      <c r="K125" s="476"/>
      <c r="L125" s="485"/>
      <c r="M125" s="476">
        <f t="shared" si="61"/>
        <v>0</v>
      </c>
      <c r="N125" s="485"/>
      <c r="O125" s="476">
        <f t="shared" si="43"/>
        <v>0</v>
      </c>
      <c r="P125" s="476">
        <f t="shared" si="44"/>
        <v>0</v>
      </c>
    </row>
    <row r="126" spans="2:16" ht="12.5">
      <c r="B126" s="160" t="str">
        <f t="shared" si="34"/>
        <v/>
      </c>
      <c r="C126" s="470">
        <f>IF(D93="","-",+C125+1)</f>
        <v>2039</v>
      </c>
      <c r="D126" s="345">
        <f>IF(F125+SUM(E$99:E125)=D$92,F125,D$92-SUM(E$99:E125))</f>
        <v>1179249</v>
      </c>
      <c r="E126" s="484">
        <f t="shared" si="56"/>
        <v>86994</v>
      </c>
      <c r="F126" s="483">
        <f t="shared" si="57"/>
        <v>1092255</v>
      </c>
      <c r="G126" s="483">
        <f t="shared" si="58"/>
        <v>1135752</v>
      </c>
      <c r="H126" s="484">
        <f t="shared" si="59"/>
        <v>216727.60396184216</v>
      </c>
      <c r="I126" s="540">
        <f t="shared" si="60"/>
        <v>216727.60396184216</v>
      </c>
      <c r="J126" s="476">
        <f t="shared" si="28"/>
        <v>0</v>
      </c>
      <c r="K126" s="476"/>
      <c r="L126" s="485"/>
      <c r="M126" s="476">
        <f t="shared" si="61"/>
        <v>0</v>
      </c>
      <c r="N126" s="485"/>
      <c r="O126" s="476">
        <f t="shared" si="43"/>
        <v>0</v>
      </c>
      <c r="P126" s="476">
        <f t="shared" si="44"/>
        <v>0</v>
      </c>
    </row>
    <row r="127" spans="2:16" ht="12.5">
      <c r="B127" s="160" t="str">
        <f t="shared" si="34"/>
        <v/>
      </c>
      <c r="C127" s="470">
        <f>IF(D93="","-",+C126+1)</f>
        <v>2040</v>
      </c>
      <c r="D127" s="345">
        <f>IF(F126+SUM(E$99:E126)=D$92,F126,D$92-SUM(E$99:E126))</f>
        <v>1092255</v>
      </c>
      <c r="E127" s="484">
        <f t="shared" si="56"/>
        <v>86994</v>
      </c>
      <c r="F127" s="483">
        <f t="shared" si="57"/>
        <v>1005261</v>
      </c>
      <c r="G127" s="483">
        <f t="shared" si="58"/>
        <v>1048758</v>
      </c>
      <c r="H127" s="484">
        <f t="shared" si="59"/>
        <v>206790.53570833569</v>
      </c>
      <c r="I127" s="540">
        <f t="shared" si="60"/>
        <v>206790.53570833569</v>
      </c>
      <c r="J127" s="476">
        <f t="shared" si="28"/>
        <v>0</v>
      </c>
      <c r="K127" s="476"/>
      <c r="L127" s="485"/>
      <c r="M127" s="476">
        <f t="shared" si="61"/>
        <v>0</v>
      </c>
      <c r="N127" s="485"/>
      <c r="O127" s="476">
        <f t="shared" si="43"/>
        <v>0</v>
      </c>
      <c r="P127" s="476">
        <f t="shared" si="44"/>
        <v>0</v>
      </c>
    </row>
    <row r="128" spans="2:16" ht="12.5">
      <c r="B128" s="160" t="str">
        <f t="shared" si="34"/>
        <v/>
      </c>
      <c r="C128" s="470">
        <f>IF(D93="","-",+C127+1)</f>
        <v>2041</v>
      </c>
      <c r="D128" s="345">
        <f>IF(F127+SUM(E$99:E127)=D$92,F127,D$92-SUM(E$99:E127))</f>
        <v>1005261</v>
      </c>
      <c r="E128" s="484">
        <f t="shared" si="56"/>
        <v>86994</v>
      </c>
      <c r="F128" s="483">
        <f t="shared" si="57"/>
        <v>918267</v>
      </c>
      <c r="G128" s="483">
        <f t="shared" si="58"/>
        <v>961764</v>
      </c>
      <c r="H128" s="484">
        <f t="shared" si="59"/>
        <v>196853.4674548292</v>
      </c>
      <c r="I128" s="540">
        <f t="shared" si="60"/>
        <v>196853.4674548292</v>
      </c>
      <c r="J128" s="476">
        <f t="shared" si="28"/>
        <v>0</v>
      </c>
      <c r="K128" s="476"/>
      <c r="L128" s="485"/>
      <c r="M128" s="476">
        <f t="shared" si="61"/>
        <v>0</v>
      </c>
      <c r="N128" s="485"/>
      <c r="O128" s="476">
        <f t="shared" si="43"/>
        <v>0</v>
      </c>
      <c r="P128" s="476">
        <f t="shared" si="44"/>
        <v>0</v>
      </c>
    </row>
    <row r="129" spans="2:16" ht="12.5">
      <c r="B129" s="160" t="str">
        <f t="shared" si="34"/>
        <v/>
      </c>
      <c r="C129" s="470">
        <f>IF(D93="","-",+C128+1)</f>
        <v>2042</v>
      </c>
      <c r="D129" s="345">
        <f>IF(F128+SUM(E$99:E128)=D$92,F128,D$92-SUM(E$99:E128))</f>
        <v>918267</v>
      </c>
      <c r="E129" s="484">
        <f t="shared" si="56"/>
        <v>86994</v>
      </c>
      <c r="F129" s="483">
        <f t="shared" si="57"/>
        <v>831273</v>
      </c>
      <c r="G129" s="483">
        <f t="shared" si="58"/>
        <v>874770</v>
      </c>
      <c r="H129" s="484">
        <f t="shared" si="59"/>
        <v>186916.3992013227</v>
      </c>
      <c r="I129" s="540">
        <f t="shared" si="60"/>
        <v>186916.3992013227</v>
      </c>
      <c r="J129" s="476">
        <f t="shared" si="28"/>
        <v>0</v>
      </c>
      <c r="K129" s="476"/>
      <c r="L129" s="485"/>
      <c r="M129" s="476">
        <f t="shared" si="61"/>
        <v>0</v>
      </c>
      <c r="N129" s="485"/>
      <c r="O129" s="476">
        <f t="shared" si="43"/>
        <v>0</v>
      </c>
      <c r="P129" s="476">
        <f t="shared" si="44"/>
        <v>0</v>
      </c>
    </row>
    <row r="130" spans="2:16" ht="12.5">
      <c r="B130" s="160" t="str">
        <f t="shared" si="34"/>
        <v/>
      </c>
      <c r="C130" s="470">
        <f>IF(D93="","-",+C129+1)</f>
        <v>2043</v>
      </c>
      <c r="D130" s="345">
        <f>IF(F129+SUM(E$99:E129)=D$92,F129,D$92-SUM(E$99:E129))</f>
        <v>831273</v>
      </c>
      <c r="E130" s="484">
        <f t="shared" si="56"/>
        <v>86994</v>
      </c>
      <c r="F130" s="483">
        <f t="shared" si="57"/>
        <v>744279</v>
      </c>
      <c r="G130" s="483">
        <f t="shared" si="58"/>
        <v>787776</v>
      </c>
      <c r="H130" s="484">
        <f t="shared" si="59"/>
        <v>176979.33094781623</v>
      </c>
      <c r="I130" s="540">
        <f t="shared" si="60"/>
        <v>176979.33094781623</v>
      </c>
      <c r="J130" s="476">
        <f t="shared" si="28"/>
        <v>0</v>
      </c>
      <c r="K130" s="476"/>
      <c r="L130" s="485"/>
      <c r="M130" s="476">
        <f t="shared" si="61"/>
        <v>0</v>
      </c>
      <c r="N130" s="485"/>
      <c r="O130" s="476">
        <f t="shared" si="43"/>
        <v>0</v>
      </c>
      <c r="P130" s="476">
        <f t="shared" si="44"/>
        <v>0</v>
      </c>
    </row>
    <row r="131" spans="2:16" ht="12.5">
      <c r="B131" s="160" t="str">
        <f t="shared" si="34"/>
        <v/>
      </c>
      <c r="C131" s="470">
        <f>IF(D93="","-",+C130+1)</f>
        <v>2044</v>
      </c>
      <c r="D131" s="345">
        <f>IF(F130+SUM(E$99:E130)=D$92,F130,D$92-SUM(E$99:E130))</f>
        <v>744279</v>
      </c>
      <c r="E131" s="484">
        <f t="shared" si="56"/>
        <v>86994</v>
      </c>
      <c r="F131" s="483">
        <f t="shared" si="57"/>
        <v>657285</v>
      </c>
      <c r="G131" s="483">
        <f t="shared" si="58"/>
        <v>700782</v>
      </c>
      <c r="H131" s="484">
        <f t="shared" si="59"/>
        <v>167042.26269430976</v>
      </c>
      <c r="I131" s="540">
        <f t="shared" si="60"/>
        <v>167042.26269430976</v>
      </c>
      <c r="J131" s="476">
        <f t="shared" ref="J131:J154" si="62">+I541-H541</f>
        <v>0</v>
      </c>
      <c r="K131" s="476"/>
      <c r="L131" s="485"/>
      <c r="M131" s="476">
        <f t="shared" ref="M131:M154" si="63">IF(L541&lt;&gt;0,+H541-L541,0)</f>
        <v>0</v>
      </c>
      <c r="N131" s="485"/>
      <c r="O131" s="476">
        <f t="shared" ref="O131:O154" si="64">IF(N541&lt;&gt;0,+I541-N541,0)</f>
        <v>0</v>
      </c>
      <c r="P131" s="476">
        <f t="shared" ref="P131:P154" si="65">+O541-M541</f>
        <v>0</v>
      </c>
    </row>
    <row r="132" spans="2:16" ht="12.5">
      <c r="B132" s="160" t="str">
        <f t="shared" ref="B132:B154" si="66">IF(D132=F131,"","IU")</f>
        <v/>
      </c>
      <c r="C132" s="470">
        <f>IF(D93="","-",+C131+1)</f>
        <v>2045</v>
      </c>
      <c r="D132" s="345">
        <f>IF(F131+SUM(E$99:E131)=D$92,F131,D$92-SUM(E$99:E131))</f>
        <v>657285</v>
      </c>
      <c r="E132" s="484">
        <f t="shared" si="56"/>
        <v>86994</v>
      </c>
      <c r="F132" s="483">
        <f t="shared" si="57"/>
        <v>570291</v>
      </c>
      <c r="G132" s="483">
        <f t="shared" si="58"/>
        <v>613788</v>
      </c>
      <c r="H132" s="484">
        <f t="shared" si="59"/>
        <v>157105.19444080326</v>
      </c>
      <c r="I132" s="540">
        <f t="shared" si="60"/>
        <v>157105.19444080326</v>
      </c>
      <c r="J132" s="476">
        <f t="shared" si="62"/>
        <v>0</v>
      </c>
      <c r="K132" s="476"/>
      <c r="L132" s="485"/>
      <c r="M132" s="476">
        <f t="shared" si="63"/>
        <v>0</v>
      </c>
      <c r="N132" s="485"/>
      <c r="O132" s="476">
        <f t="shared" si="64"/>
        <v>0</v>
      </c>
      <c r="P132" s="476">
        <f t="shared" si="65"/>
        <v>0</v>
      </c>
    </row>
    <row r="133" spans="2:16" ht="12.5">
      <c r="B133" s="160" t="str">
        <f t="shared" si="66"/>
        <v/>
      </c>
      <c r="C133" s="470">
        <f>IF(D93="","-",+C132+1)</f>
        <v>2046</v>
      </c>
      <c r="D133" s="345">
        <f>IF(F132+SUM(E$99:E132)=D$92,F132,D$92-SUM(E$99:E132))</f>
        <v>570291</v>
      </c>
      <c r="E133" s="484">
        <f t="shared" si="56"/>
        <v>86994</v>
      </c>
      <c r="F133" s="483">
        <f t="shared" si="57"/>
        <v>483297</v>
      </c>
      <c r="G133" s="483">
        <f t="shared" si="58"/>
        <v>526794</v>
      </c>
      <c r="H133" s="484">
        <f t="shared" si="59"/>
        <v>147168.12618729676</v>
      </c>
      <c r="I133" s="540">
        <f t="shared" si="60"/>
        <v>147168.12618729676</v>
      </c>
      <c r="J133" s="476">
        <f t="shared" si="62"/>
        <v>0</v>
      </c>
      <c r="K133" s="476"/>
      <c r="L133" s="485"/>
      <c r="M133" s="476">
        <f t="shared" si="63"/>
        <v>0</v>
      </c>
      <c r="N133" s="485"/>
      <c r="O133" s="476">
        <f t="shared" si="64"/>
        <v>0</v>
      </c>
      <c r="P133" s="476">
        <f t="shared" si="65"/>
        <v>0</v>
      </c>
    </row>
    <row r="134" spans="2:16" ht="12.5">
      <c r="B134" s="160" t="str">
        <f t="shared" si="66"/>
        <v/>
      </c>
      <c r="C134" s="470">
        <f>IF(D93="","-",+C133+1)</f>
        <v>2047</v>
      </c>
      <c r="D134" s="345">
        <f>IF(F133+SUM(E$99:E133)=D$92,F133,D$92-SUM(E$99:E133))</f>
        <v>483297</v>
      </c>
      <c r="E134" s="484">
        <f t="shared" si="56"/>
        <v>86994</v>
      </c>
      <c r="F134" s="483">
        <f t="shared" si="57"/>
        <v>396303</v>
      </c>
      <c r="G134" s="483">
        <f t="shared" si="58"/>
        <v>439800</v>
      </c>
      <c r="H134" s="484">
        <f t="shared" si="59"/>
        <v>137231.05793379029</v>
      </c>
      <c r="I134" s="540">
        <f t="shared" si="60"/>
        <v>137231.05793379029</v>
      </c>
      <c r="J134" s="476">
        <f t="shared" si="62"/>
        <v>0</v>
      </c>
      <c r="K134" s="476"/>
      <c r="L134" s="485"/>
      <c r="M134" s="476">
        <f t="shared" si="63"/>
        <v>0</v>
      </c>
      <c r="N134" s="485"/>
      <c r="O134" s="476">
        <f t="shared" si="64"/>
        <v>0</v>
      </c>
      <c r="P134" s="476">
        <f t="shared" si="65"/>
        <v>0</v>
      </c>
    </row>
    <row r="135" spans="2:16" ht="12.5">
      <c r="B135" s="160" t="str">
        <f t="shared" si="66"/>
        <v/>
      </c>
      <c r="C135" s="470">
        <f>IF(D93="","-",+C134+1)</f>
        <v>2048</v>
      </c>
      <c r="D135" s="345">
        <f>IF(F134+SUM(E$99:E134)=D$92,F134,D$92-SUM(E$99:E134))</f>
        <v>396303</v>
      </c>
      <c r="E135" s="484">
        <f t="shared" si="56"/>
        <v>86994</v>
      </c>
      <c r="F135" s="483">
        <f t="shared" si="57"/>
        <v>309309</v>
      </c>
      <c r="G135" s="483">
        <f t="shared" si="58"/>
        <v>352806</v>
      </c>
      <c r="H135" s="484">
        <f t="shared" si="59"/>
        <v>127293.98968028379</v>
      </c>
      <c r="I135" s="540">
        <f t="shared" si="60"/>
        <v>127293.98968028379</v>
      </c>
      <c r="J135" s="476">
        <f t="shared" si="62"/>
        <v>0</v>
      </c>
      <c r="K135" s="476"/>
      <c r="L135" s="485"/>
      <c r="M135" s="476">
        <f t="shared" si="63"/>
        <v>0</v>
      </c>
      <c r="N135" s="485"/>
      <c r="O135" s="476">
        <f t="shared" si="64"/>
        <v>0</v>
      </c>
      <c r="P135" s="476">
        <f t="shared" si="65"/>
        <v>0</v>
      </c>
    </row>
    <row r="136" spans="2:16" ht="12.5">
      <c r="B136" s="160" t="str">
        <f t="shared" si="66"/>
        <v/>
      </c>
      <c r="C136" s="470">
        <f>IF(D93="","-",+C135+1)</f>
        <v>2049</v>
      </c>
      <c r="D136" s="345">
        <f>IF(F135+SUM(E$99:E135)=D$92,F135,D$92-SUM(E$99:E135))</f>
        <v>309309</v>
      </c>
      <c r="E136" s="484">
        <f t="shared" si="56"/>
        <v>86994</v>
      </c>
      <c r="F136" s="483">
        <f t="shared" si="57"/>
        <v>222315</v>
      </c>
      <c r="G136" s="483">
        <f t="shared" si="58"/>
        <v>265812</v>
      </c>
      <c r="H136" s="484">
        <f t="shared" si="59"/>
        <v>117356.92142677732</v>
      </c>
      <c r="I136" s="540">
        <f t="shared" si="60"/>
        <v>117356.92142677732</v>
      </c>
      <c r="J136" s="476">
        <f t="shared" si="62"/>
        <v>0</v>
      </c>
      <c r="K136" s="476"/>
      <c r="L136" s="485"/>
      <c r="M136" s="476">
        <f t="shared" si="63"/>
        <v>0</v>
      </c>
      <c r="N136" s="485"/>
      <c r="O136" s="476">
        <f t="shared" si="64"/>
        <v>0</v>
      </c>
      <c r="P136" s="476">
        <f t="shared" si="65"/>
        <v>0</v>
      </c>
    </row>
    <row r="137" spans="2:16" ht="12.5">
      <c r="B137" s="160" t="str">
        <f t="shared" si="66"/>
        <v/>
      </c>
      <c r="C137" s="470">
        <f>IF(D93="","-",+C136+1)</f>
        <v>2050</v>
      </c>
      <c r="D137" s="345">
        <f>IF(F136+SUM(E$99:E136)=D$92,F136,D$92-SUM(E$99:E136))</f>
        <v>222315</v>
      </c>
      <c r="E137" s="484">
        <f t="shared" si="56"/>
        <v>86994</v>
      </c>
      <c r="F137" s="483">
        <f t="shared" si="57"/>
        <v>135321</v>
      </c>
      <c r="G137" s="483">
        <f t="shared" si="58"/>
        <v>178818</v>
      </c>
      <c r="H137" s="484">
        <f t="shared" si="59"/>
        <v>107419.85317327082</v>
      </c>
      <c r="I137" s="540">
        <f t="shared" si="60"/>
        <v>107419.85317327082</v>
      </c>
      <c r="J137" s="476">
        <f t="shared" si="62"/>
        <v>0</v>
      </c>
      <c r="K137" s="476"/>
      <c r="L137" s="485"/>
      <c r="M137" s="476">
        <f t="shared" si="63"/>
        <v>0</v>
      </c>
      <c r="N137" s="485"/>
      <c r="O137" s="476">
        <f t="shared" si="64"/>
        <v>0</v>
      </c>
      <c r="P137" s="476">
        <f t="shared" si="65"/>
        <v>0</v>
      </c>
    </row>
    <row r="138" spans="2:16" ht="12.5">
      <c r="B138" s="160" t="str">
        <f t="shared" si="66"/>
        <v/>
      </c>
      <c r="C138" s="470">
        <f>IF(D93="","-",+C137+1)</f>
        <v>2051</v>
      </c>
      <c r="D138" s="345">
        <f>IF(F137+SUM(E$99:E137)=D$92,F137,D$92-SUM(E$99:E137))</f>
        <v>135321</v>
      </c>
      <c r="E138" s="484">
        <f t="shared" si="56"/>
        <v>86994</v>
      </c>
      <c r="F138" s="483">
        <f t="shared" si="57"/>
        <v>48327</v>
      </c>
      <c r="G138" s="483">
        <f t="shared" si="58"/>
        <v>91824</v>
      </c>
      <c r="H138" s="484">
        <f t="shared" si="59"/>
        <v>97482.784919764352</v>
      </c>
      <c r="I138" s="540">
        <f t="shared" si="60"/>
        <v>97482.784919764352</v>
      </c>
      <c r="J138" s="476">
        <f t="shared" si="62"/>
        <v>0</v>
      </c>
      <c r="K138" s="476"/>
      <c r="L138" s="485"/>
      <c r="M138" s="476">
        <f t="shared" si="63"/>
        <v>0</v>
      </c>
      <c r="N138" s="485"/>
      <c r="O138" s="476">
        <f t="shared" si="64"/>
        <v>0</v>
      </c>
      <c r="P138" s="476">
        <f t="shared" si="65"/>
        <v>0</v>
      </c>
    </row>
    <row r="139" spans="2:16" ht="12.5">
      <c r="B139" s="160" t="str">
        <f t="shared" si="66"/>
        <v/>
      </c>
      <c r="C139" s="470">
        <f>IF(D93="","-",+C138+1)</f>
        <v>2052</v>
      </c>
      <c r="D139" s="345">
        <f>IF(F138+SUM(E$99:E138)=D$92,F138,D$92-SUM(E$99:E138))</f>
        <v>48327</v>
      </c>
      <c r="E139" s="484">
        <f t="shared" si="56"/>
        <v>48327</v>
      </c>
      <c r="F139" s="483">
        <f t="shared" si="57"/>
        <v>0</v>
      </c>
      <c r="G139" s="483">
        <f t="shared" si="58"/>
        <v>24163.5</v>
      </c>
      <c r="H139" s="484">
        <f t="shared" si="59"/>
        <v>51087.125396505551</v>
      </c>
      <c r="I139" s="540">
        <f t="shared" si="60"/>
        <v>51087.125396505551</v>
      </c>
      <c r="J139" s="476">
        <f t="shared" si="62"/>
        <v>0</v>
      </c>
      <c r="K139" s="476"/>
      <c r="L139" s="485"/>
      <c r="M139" s="476">
        <f t="shared" si="63"/>
        <v>0</v>
      </c>
      <c r="N139" s="485"/>
      <c r="O139" s="476">
        <f t="shared" si="64"/>
        <v>0</v>
      </c>
      <c r="P139" s="476">
        <f t="shared" si="65"/>
        <v>0</v>
      </c>
    </row>
    <row r="140" spans="2:16" ht="12.5">
      <c r="B140" s="160" t="str">
        <f t="shared" si="66"/>
        <v/>
      </c>
      <c r="C140" s="470">
        <f>IF(D93="","-",+C139+1)</f>
        <v>2053</v>
      </c>
      <c r="D140" s="345">
        <f>IF(F139+SUM(E$99:E139)=D$92,F139,D$92-SUM(E$99:E139))</f>
        <v>0</v>
      </c>
      <c r="E140" s="484">
        <f t="shared" si="56"/>
        <v>0</v>
      </c>
      <c r="F140" s="483">
        <f t="shared" si="57"/>
        <v>0</v>
      </c>
      <c r="G140" s="483">
        <f t="shared" si="58"/>
        <v>0</v>
      </c>
      <c r="H140" s="484">
        <f t="shared" si="59"/>
        <v>0</v>
      </c>
      <c r="I140" s="540">
        <f t="shared" si="60"/>
        <v>0</v>
      </c>
      <c r="J140" s="476">
        <f t="shared" si="62"/>
        <v>0</v>
      </c>
      <c r="K140" s="476"/>
      <c r="L140" s="485"/>
      <c r="M140" s="476">
        <f t="shared" si="63"/>
        <v>0</v>
      </c>
      <c r="N140" s="485"/>
      <c r="O140" s="476">
        <f t="shared" si="64"/>
        <v>0</v>
      </c>
      <c r="P140" s="476">
        <f t="shared" si="65"/>
        <v>0</v>
      </c>
    </row>
    <row r="141" spans="2:16" ht="12.5">
      <c r="B141" s="160" t="str">
        <f t="shared" si="66"/>
        <v/>
      </c>
      <c r="C141" s="470">
        <f>IF(D93="","-",+C140+1)</f>
        <v>2054</v>
      </c>
      <c r="D141" s="345">
        <f>IF(F140+SUM(E$99:E140)=D$92,F140,D$92-SUM(E$99:E140))</f>
        <v>0</v>
      </c>
      <c r="E141" s="484">
        <f t="shared" si="56"/>
        <v>0</v>
      </c>
      <c r="F141" s="483">
        <f t="shared" si="57"/>
        <v>0</v>
      </c>
      <c r="G141" s="483">
        <f t="shared" si="58"/>
        <v>0</v>
      </c>
      <c r="H141" s="484">
        <f t="shared" si="59"/>
        <v>0</v>
      </c>
      <c r="I141" s="540">
        <f t="shared" si="60"/>
        <v>0</v>
      </c>
      <c r="J141" s="476">
        <f t="shared" si="62"/>
        <v>0</v>
      </c>
      <c r="K141" s="476"/>
      <c r="L141" s="485"/>
      <c r="M141" s="476">
        <f t="shared" si="63"/>
        <v>0</v>
      </c>
      <c r="N141" s="485"/>
      <c r="O141" s="476">
        <f t="shared" si="64"/>
        <v>0</v>
      </c>
      <c r="P141" s="476">
        <f t="shared" si="65"/>
        <v>0</v>
      </c>
    </row>
    <row r="142" spans="2:16" ht="12.5">
      <c r="B142" s="160" t="str">
        <f t="shared" si="66"/>
        <v/>
      </c>
      <c r="C142" s="470">
        <f>IF(D93="","-",+C141+1)</f>
        <v>2055</v>
      </c>
      <c r="D142" s="345">
        <f>IF(F141+SUM(E$99:E141)=D$92,F141,D$92-SUM(E$99:E141))</f>
        <v>0</v>
      </c>
      <c r="E142" s="484">
        <f t="shared" si="56"/>
        <v>0</v>
      </c>
      <c r="F142" s="483">
        <f t="shared" si="57"/>
        <v>0</v>
      </c>
      <c r="G142" s="483">
        <f t="shared" si="58"/>
        <v>0</v>
      </c>
      <c r="H142" s="484">
        <f t="shared" si="59"/>
        <v>0</v>
      </c>
      <c r="I142" s="540">
        <f t="shared" si="60"/>
        <v>0</v>
      </c>
      <c r="J142" s="476">
        <f t="shared" si="62"/>
        <v>0</v>
      </c>
      <c r="K142" s="476"/>
      <c r="L142" s="485"/>
      <c r="M142" s="476">
        <f t="shared" si="63"/>
        <v>0</v>
      </c>
      <c r="N142" s="485"/>
      <c r="O142" s="476">
        <f t="shared" si="64"/>
        <v>0</v>
      </c>
      <c r="P142" s="476">
        <f t="shared" si="65"/>
        <v>0</v>
      </c>
    </row>
    <row r="143" spans="2:16" ht="12.5">
      <c r="B143" s="160" t="str">
        <f t="shared" si="66"/>
        <v/>
      </c>
      <c r="C143" s="470">
        <f>IF(D93="","-",+C142+1)</f>
        <v>2056</v>
      </c>
      <c r="D143" s="345">
        <f>IF(F142+SUM(E$99:E142)=D$92,F142,D$92-SUM(E$99:E142))</f>
        <v>0</v>
      </c>
      <c r="E143" s="484">
        <f t="shared" si="56"/>
        <v>0</v>
      </c>
      <c r="F143" s="483">
        <f t="shared" si="57"/>
        <v>0</v>
      </c>
      <c r="G143" s="483">
        <f t="shared" si="58"/>
        <v>0</v>
      </c>
      <c r="H143" s="484">
        <f t="shared" si="59"/>
        <v>0</v>
      </c>
      <c r="I143" s="540">
        <f t="shared" si="60"/>
        <v>0</v>
      </c>
      <c r="J143" s="476">
        <f t="shared" si="62"/>
        <v>0</v>
      </c>
      <c r="K143" s="476"/>
      <c r="L143" s="485"/>
      <c r="M143" s="476">
        <f t="shared" si="63"/>
        <v>0</v>
      </c>
      <c r="N143" s="485"/>
      <c r="O143" s="476">
        <f t="shared" si="64"/>
        <v>0</v>
      </c>
      <c r="P143" s="476">
        <f t="shared" si="65"/>
        <v>0</v>
      </c>
    </row>
    <row r="144" spans="2:16" ht="12.5">
      <c r="B144" s="160" t="str">
        <f t="shared" si="66"/>
        <v/>
      </c>
      <c r="C144" s="470">
        <f>IF(D93="","-",+C143+1)</f>
        <v>2057</v>
      </c>
      <c r="D144" s="345">
        <f>IF(F143+SUM(E$99:E143)=D$92,F143,D$92-SUM(E$99:E143))</f>
        <v>0</v>
      </c>
      <c r="E144" s="484">
        <f t="shared" si="56"/>
        <v>0</v>
      </c>
      <c r="F144" s="483">
        <f t="shared" si="57"/>
        <v>0</v>
      </c>
      <c r="G144" s="483">
        <f t="shared" si="58"/>
        <v>0</v>
      </c>
      <c r="H144" s="484">
        <f t="shared" si="59"/>
        <v>0</v>
      </c>
      <c r="I144" s="540">
        <f t="shared" si="60"/>
        <v>0</v>
      </c>
      <c r="J144" s="476">
        <f t="shared" si="62"/>
        <v>0</v>
      </c>
      <c r="K144" s="476"/>
      <c r="L144" s="485"/>
      <c r="M144" s="476">
        <f t="shared" si="63"/>
        <v>0</v>
      </c>
      <c r="N144" s="485"/>
      <c r="O144" s="476">
        <f t="shared" si="64"/>
        <v>0</v>
      </c>
      <c r="P144" s="476">
        <f t="shared" si="65"/>
        <v>0</v>
      </c>
    </row>
    <row r="145" spans="2:16" ht="12.5">
      <c r="B145" s="160" t="str">
        <f t="shared" si="66"/>
        <v/>
      </c>
      <c r="C145" s="470">
        <f>IF(D93="","-",+C144+1)</f>
        <v>2058</v>
      </c>
      <c r="D145" s="345">
        <f>IF(F144+SUM(E$99:E144)=D$92,F144,D$92-SUM(E$99:E144))</f>
        <v>0</v>
      </c>
      <c r="E145" s="484">
        <f t="shared" si="56"/>
        <v>0</v>
      </c>
      <c r="F145" s="483">
        <f t="shared" si="57"/>
        <v>0</v>
      </c>
      <c r="G145" s="483">
        <f t="shared" si="58"/>
        <v>0</v>
      </c>
      <c r="H145" s="484">
        <f t="shared" si="59"/>
        <v>0</v>
      </c>
      <c r="I145" s="540">
        <f t="shared" si="60"/>
        <v>0</v>
      </c>
      <c r="J145" s="476">
        <f t="shared" si="62"/>
        <v>0</v>
      </c>
      <c r="K145" s="476"/>
      <c r="L145" s="485"/>
      <c r="M145" s="476">
        <f t="shared" si="63"/>
        <v>0</v>
      </c>
      <c r="N145" s="485"/>
      <c r="O145" s="476">
        <f t="shared" si="64"/>
        <v>0</v>
      </c>
      <c r="P145" s="476">
        <f t="shared" si="65"/>
        <v>0</v>
      </c>
    </row>
    <row r="146" spans="2:16" ht="12.5">
      <c r="B146" s="160" t="str">
        <f t="shared" si="66"/>
        <v/>
      </c>
      <c r="C146" s="470">
        <f>IF(D93="","-",+C145+1)</f>
        <v>2059</v>
      </c>
      <c r="D146" s="345">
        <f>IF(F145+SUM(E$99:E145)=D$92,F145,D$92-SUM(E$99:E145))</f>
        <v>0</v>
      </c>
      <c r="E146" s="484">
        <f t="shared" si="56"/>
        <v>0</v>
      </c>
      <c r="F146" s="483">
        <f t="shared" si="57"/>
        <v>0</v>
      </c>
      <c r="G146" s="483">
        <f t="shared" si="58"/>
        <v>0</v>
      </c>
      <c r="H146" s="484">
        <f t="shared" si="59"/>
        <v>0</v>
      </c>
      <c r="I146" s="540">
        <f t="shared" si="60"/>
        <v>0</v>
      </c>
      <c r="J146" s="476">
        <f t="shared" si="62"/>
        <v>0</v>
      </c>
      <c r="K146" s="476"/>
      <c r="L146" s="485"/>
      <c r="M146" s="476">
        <f t="shared" si="63"/>
        <v>0</v>
      </c>
      <c r="N146" s="485"/>
      <c r="O146" s="476">
        <f t="shared" si="64"/>
        <v>0</v>
      </c>
      <c r="P146" s="476">
        <f t="shared" si="65"/>
        <v>0</v>
      </c>
    </row>
    <row r="147" spans="2:16" ht="12.5">
      <c r="B147" s="160" t="str">
        <f t="shared" si="66"/>
        <v/>
      </c>
      <c r="C147" s="470">
        <f>IF(D93="","-",+C146+1)</f>
        <v>2060</v>
      </c>
      <c r="D147" s="345">
        <f>IF(F146+SUM(E$99:E146)=D$92,F146,D$92-SUM(E$99:E146))</f>
        <v>0</v>
      </c>
      <c r="E147" s="484">
        <f t="shared" si="56"/>
        <v>0</v>
      </c>
      <c r="F147" s="483">
        <f t="shared" si="57"/>
        <v>0</v>
      </c>
      <c r="G147" s="483">
        <f t="shared" si="58"/>
        <v>0</v>
      </c>
      <c r="H147" s="484">
        <f t="shared" si="59"/>
        <v>0</v>
      </c>
      <c r="I147" s="540">
        <f t="shared" si="60"/>
        <v>0</v>
      </c>
      <c r="J147" s="476">
        <f t="shared" si="62"/>
        <v>0</v>
      </c>
      <c r="K147" s="476"/>
      <c r="L147" s="485"/>
      <c r="M147" s="476">
        <f t="shared" si="63"/>
        <v>0</v>
      </c>
      <c r="N147" s="485"/>
      <c r="O147" s="476">
        <f t="shared" si="64"/>
        <v>0</v>
      </c>
      <c r="P147" s="476">
        <f t="shared" si="65"/>
        <v>0</v>
      </c>
    </row>
    <row r="148" spans="2:16" ht="12.5">
      <c r="B148" s="160" t="str">
        <f t="shared" si="66"/>
        <v/>
      </c>
      <c r="C148" s="470">
        <f>IF(D93="","-",+C147+1)</f>
        <v>2061</v>
      </c>
      <c r="D148" s="345">
        <f>IF(F147+SUM(E$99:E147)=D$92,F147,D$92-SUM(E$99:E147))</f>
        <v>0</v>
      </c>
      <c r="E148" s="484">
        <f t="shared" si="56"/>
        <v>0</v>
      </c>
      <c r="F148" s="483">
        <f t="shared" si="57"/>
        <v>0</v>
      </c>
      <c r="G148" s="483">
        <f t="shared" si="58"/>
        <v>0</v>
      </c>
      <c r="H148" s="484">
        <f t="shared" si="59"/>
        <v>0</v>
      </c>
      <c r="I148" s="540">
        <f t="shared" si="60"/>
        <v>0</v>
      </c>
      <c r="J148" s="476">
        <f t="shared" si="62"/>
        <v>0</v>
      </c>
      <c r="K148" s="476"/>
      <c r="L148" s="485"/>
      <c r="M148" s="476">
        <f t="shared" si="63"/>
        <v>0</v>
      </c>
      <c r="N148" s="485"/>
      <c r="O148" s="476">
        <f t="shared" si="64"/>
        <v>0</v>
      </c>
      <c r="P148" s="476">
        <f t="shared" si="65"/>
        <v>0</v>
      </c>
    </row>
    <row r="149" spans="2:16" ht="12.5">
      <c r="B149" s="160" t="str">
        <f t="shared" si="66"/>
        <v/>
      </c>
      <c r="C149" s="470">
        <f>IF(D93="","-",+C148+1)</f>
        <v>2062</v>
      </c>
      <c r="D149" s="345">
        <f>IF(F148+SUM(E$99:E148)=D$92,F148,D$92-SUM(E$99:E148))</f>
        <v>0</v>
      </c>
      <c r="E149" s="484">
        <f t="shared" si="56"/>
        <v>0</v>
      </c>
      <c r="F149" s="483">
        <f t="shared" si="57"/>
        <v>0</v>
      </c>
      <c r="G149" s="483">
        <f t="shared" si="58"/>
        <v>0</v>
      </c>
      <c r="H149" s="484">
        <f t="shared" si="59"/>
        <v>0</v>
      </c>
      <c r="I149" s="540">
        <f t="shared" si="60"/>
        <v>0</v>
      </c>
      <c r="J149" s="476">
        <f t="shared" si="62"/>
        <v>0</v>
      </c>
      <c r="K149" s="476"/>
      <c r="L149" s="485"/>
      <c r="M149" s="476">
        <f t="shared" si="63"/>
        <v>0</v>
      </c>
      <c r="N149" s="485"/>
      <c r="O149" s="476">
        <f t="shared" si="64"/>
        <v>0</v>
      </c>
      <c r="P149" s="476">
        <f t="shared" si="65"/>
        <v>0</v>
      </c>
    </row>
    <row r="150" spans="2:16" ht="12.5">
      <c r="B150" s="160" t="str">
        <f t="shared" si="66"/>
        <v/>
      </c>
      <c r="C150" s="470">
        <f>IF(D93="","-",+C149+1)</f>
        <v>2063</v>
      </c>
      <c r="D150" s="345">
        <f>IF(F149+SUM(E$99:E149)=D$92,F149,D$92-SUM(E$99:E149))</f>
        <v>0</v>
      </c>
      <c r="E150" s="484">
        <f t="shared" si="56"/>
        <v>0</v>
      </c>
      <c r="F150" s="483">
        <f t="shared" si="57"/>
        <v>0</v>
      </c>
      <c r="G150" s="483">
        <f t="shared" si="58"/>
        <v>0</v>
      </c>
      <c r="H150" s="484">
        <f t="shared" si="59"/>
        <v>0</v>
      </c>
      <c r="I150" s="540">
        <f t="shared" si="60"/>
        <v>0</v>
      </c>
      <c r="J150" s="476">
        <f t="shared" si="62"/>
        <v>0</v>
      </c>
      <c r="K150" s="476"/>
      <c r="L150" s="485"/>
      <c r="M150" s="476">
        <f t="shared" si="63"/>
        <v>0</v>
      </c>
      <c r="N150" s="485"/>
      <c r="O150" s="476">
        <f t="shared" si="64"/>
        <v>0</v>
      </c>
      <c r="P150" s="476">
        <f t="shared" si="65"/>
        <v>0</v>
      </c>
    </row>
    <row r="151" spans="2:16" ht="12.5">
      <c r="B151" s="160" t="str">
        <f t="shared" si="66"/>
        <v/>
      </c>
      <c r="C151" s="470">
        <f>IF(D93="","-",+C150+1)</f>
        <v>2064</v>
      </c>
      <c r="D151" s="345">
        <f>IF(F150+SUM(E$99:E150)=D$92,F150,D$92-SUM(E$99:E150))</f>
        <v>0</v>
      </c>
      <c r="E151" s="484">
        <f t="shared" si="56"/>
        <v>0</v>
      </c>
      <c r="F151" s="483">
        <f t="shared" si="57"/>
        <v>0</v>
      </c>
      <c r="G151" s="483">
        <f t="shared" si="58"/>
        <v>0</v>
      </c>
      <c r="H151" s="484">
        <f t="shared" si="59"/>
        <v>0</v>
      </c>
      <c r="I151" s="540">
        <f t="shared" si="60"/>
        <v>0</v>
      </c>
      <c r="J151" s="476">
        <f t="shared" si="62"/>
        <v>0</v>
      </c>
      <c r="K151" s="476"/>
      <c r="L151" s="485"/>
      <c r="M151" s="476">
        <f t="shared" si="63"/>
        <v>0</v>
      </c>
      <c r="N151" s="485"/>
      <c r="O151" s="476">
        <f t="shared" si="64"/>
        <v>0</v>
      </c>
      <c r="P151" s="476">
        <f t="shared" si="65"/>
        <v>0</v>
      </c>
    </row>
    <row r="152" spans="2:16" ht="12.5">
      <c r="B152" s="160" t="str">
        <f t="shared" si="66"/>
        <v/>
      </c>
      <c r="C152" s="470">
        <f>IF(D93="","-",+C151+1)</f>
        <v>2065</v>
      </c>
      <c r="D152" s="345">
        <f>IF(F151+SUM(E$99:E151)=D$92,F151,D$92-SUM(E$99:E151))</f>
        <v>0</v>
      </c>
      <c r="E152" s="484">
        <f t="shared" si="56"/>
        <v>0</v>
      </c>
      <c r="F152" s="483">
        <f t="shared" si="57"/>
        <v>0</v>
      </c>
      <c r="G152" s="483">
        <f t="shared" si="58"/>
        <v>0</v>
      </c>
      <c r="H152" s="484">
        <f t="shared" si="59"/>
        <v>0</v>
      </c>
      <c r="I152" s="540">
        <f t="shared" si="60"/>
        <v>0</v>
      </c>
      <c r="J152" s="476">
        <f t="shared" si="62"/>
        <v>0</v>
      </c>
      <c r="K152" s="476"/>
      <c r="L152" s="485"/>
      <c r="M152" s="476">
        <f t="shared" si="63"/>
        <v>0</v>
      </c>
      <c r="N152" s="485"/>
      <c r="O152" s="476">
        <f t="shared" si="64"/>
        <v>0</v>
      </c>
      <c r="P152" s="476">
        <f t="shared" si="65"/>
        <v>0</v>
      </c>
    </row>
    <row r="153" spans="2:16" ht="12.5">
      <c r="B153" s="160" t="str">
        <f t="shared" si="66"/>
        <v/>
      </c>
      <c r="C153" s="470">
        <f>IF(D93="","-",+C152+1)</f>
        <v>2066</v>
      </c>
      <c r="D153" s="345">
        <f>IF(F152+SUM(E$99:E152)=D$92,F152,D$92-SUM(E$99:E152))</f>
        <v>0</v>
      </c>
      <c r="E153" s="484">
        <f t="shared" si="56"/>
        <v>0</v>
      </c>
      <c r="F153" s="483">
        <f t="shared" si="57"/>
        <v>0</v>
      </c>
      <c r="G153" s="483">
        <f t="shared" si="58"/>
        <v>0</v>
      </c>
      <c r="H153" s="484">
        <f t="shared" si="59"/>
        <v>0</v>
      </c>
      <c r="I153" s="540">
        <f t="shared" si="60"/>
        <v>0</v>
      </c>
      <c r="J153" s="476">
        <f t="shared" si="62"/>
        <v>0</v>
      </c>
      <c r="K153" s="476"/>
      <c r="L153" s="485"/>
      <c r="M153" s="476">
        <f t="shared" si="63"/>
        <v>0</v>
      </c>
      <c r="N153" s="485"/>
      <c r="O153" s="476">
        <f t="shared" si="64"/>
        <v>0</v>
      </c>
      <c r="P153" s="476">
        <f t="shared" si="65"/>
        <v>0</v>
      </c>
    </row>
    <row r="154" spans="2:16" ht="13" thickBot="1">
      <c r="B154" s="160" t="str">
        <f t="shared" si="66"/>
        <v/>
      </c>
      <c r="C154" s="487">
        <f>IF(D93="","-",+C153+1)</f>
        <v>2067</v>
      </c>
      <c r="D154" s="541">
        <f>IF(F153+SUM(E$99:E153)=D$92,F153,D$92-SUM(E$99:E153))</f>
        <v>0</v>
      </c>
      <c r="E154" s="542">
        <f t="shared" si="56"/>
        <v>0</v>
      </c>
      <c r="F154" s="488">
        <f t="shared" si="57"/>
        <v>0</v>
      </c>
      <c r="G154" s="488">
        <f t="shared" si="58"/>
        <v>0</v>
      </c>
      <c r="H154" s="490">
        <f t="shared" ref="H154" si="67">+J$94*G154+E154</f>
        <v>0</v>
      </c>
      <c r="I154" s="543">
        <f t="shared" ref="I154" si="68">+J$95*G154+E154</f>
        <v>0</v>
      </c>
      <c r="J154" s="493">
        <f t="shared" si="62"/>
        <v>0</v>
      </c>
      <c r="K154" s="476"/>
      <c r="L154" s="492"/>
      <c r="M154" s="493">
        <f t="shared" si="63"/>
        <v>0</v>
      </c>
      <c r="N154" s="492"/>
      <c r="O154" s="493">
        <f t="shared" si="64"/>
        <v>0</v>
      </c>
      <c r="P154" s="493">
        <f t="shared" si="65"/>
        <v>0</v>
      </c>
    </row>
    <row r="155" spans="2:16" ht="12.5">
      <c r="C155" s="345" t="s">
        <v>77</v>
      </c>
      <c r="D155" s="346"/>
      <c r="E155" s="346">
        <f>SUM(E99:E154)</f>
        <v>3305767</v>
      </c>
      <c r="F155" s="346"/>
      <c r="G155" s="346"/>
      <c r="H155" s="346">
        <f>SUM(H99:H154)</f>
        <v>11314443.248341007</v>
      </c>
      <c r="I155" s="346">
        <f>SUM(I99:I154)</f>
        <v>11314443.248341007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8:C72">
    <cfRule type="cellIs" dxfId="44" priority="2" stopIfTrue="1" operator="equal">
      <formula>$I$10</formula>
    </cfRule>
  </conditionalFormatting>
  <conditionalFormatting sqref="C99:C154">
    <cfRule type="cellIs" dxfId="43" priority="3" stopIfTrue="1" operator="equal">
      <formula>$J$92</formula>
    </cfRule>
  </conditionalFormatting>
  <conditionalFormatting sqref="C17">
    <cfRule type="cellIs" dxfId="42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3">
    <tabColor rgb="FFC00000"/>
  </sheetPr>
  <dimension ref="A1:P162"/>
  <sheetViews>
    <sheetView topLeftCell="A64" zoomScaleNormal="100" zoomScaleSheetLayoutView="75" workbookViewId="0">
      <selection activeCell="D93" sqref="D9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13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2539.5897435897436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2539.5897435897436</v>
      </c>
      <c r="O6" s="231"/>
      <c r="P6" s="231"/>
    </row>
    <row r="7" spans="1:16" ht="13.5" thickBot="1">
      <c r="C7" s="429" t="s">
        <v>46</v>
      </c>
      <c r="D7" s="430" t="s">
        <v>256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236</v>
      </c>
      <c r="E9" s="575" t="s">
        <v>289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22097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2010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566.58974358974353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7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D11</f>
        <v>2010</v>
      </c>
      <c r="D17" s="471">
        <v>0</v>
      </c>
      <c r="E17" s="477">
        <v>0</v>
      </c>
      <c r="F17" s="477">
        <v>0</v>
      </c>
      <c r="G17" s="477">
        <v>0</v>
      </c>
      <c r="H17" s="586">
        <v>0</v>
      </c>
      <c r="I17" s="473">
        <f t="shared" ref="I17:I48" si="0">H17-G17</f>
        <v>0</v>
      </c>
      <c r="J17" s="347"/>
      <c r="K17" s="474">
        <f t="shared" ref="K17:K22" si="1">G17</f>
        <v>0</v>
      </c>
      <c r="L17" s="587">
        <f t="shared" ref="L17:L48" si="2">IF(K17&lt;&gt;0,+G17-K17,0)</f>
        <v>0</v>
      </c>
      <c r="M17" s="474">
        <f t="shared" ref="M17:M22" si="3">H17</f>
        <v>0</v>
      </c>
      <c r="N17" s="557">
        <f t="shared" ref="N17:N48" si="4">IF(M17&lt;&gt;0,+H17-M17,0)</f>
        <v>0</v>
      </c>
      <c r="O17" s="476">
        <f t="shared" ref="O17:O48" si="5">+N17-L17</f>
        <v>0</v>
      </c>
      <c r="P17" s="241"/>
    </row>
    <row r="18" spans="2:16" ht="12.5">
      <c r="B18" s="160" t="str">
        <f t="shared" ref="B18:B49" si="6">IF(D18=F17,"","IU")</f>
        <v/>
      </c>
      <c r="C18" s="470">
        <f>IF($D$11="","-",+C17+1)</f>
        <v>2011</v>
      </c>
      <c r="D18" s="471">
        <v>0</v>
      </c>
      <c r="E18" s="477">
        <v>0</v>
      </c>
      <c r="F18" s="477">
        <v>0</v>
      </c>
      <c r="G18" s="477">
        <v>0</v>
      </c>
      <c r="H18" s="586">
        <v>0</v>
      </c>
      <c r="I18" s="473">
        <f t="shared" si="0"/>
        <v>0</v>
      </c>
      <c r="J18" s="347"/>
      <c r="K18" s="474">
        <f t="shared" si="1"/>
        <v>0</v>
      </c>
      <c r="L18" s="347">
        <f t="shared" si="2"/>
        <v>0</v>
      </c>
      <c r="M18" s="474">
        <f t="shared" si="3"/>
        <v>0</v>
      </c>
      <c r="N18" s="473">
        <f t="shared" si="4"/>
        <v>0</v>
      </c>
      <c r="O18" s="476">
        <f t="shared" si="5"/>
        <v>0</v>
      </c>
      <c r="P18" s="241"/>
    </row>
    <row r="19" spans="2:16" ht="12.5">
      <c r="B19" s="160" t="str">
        <f t="shared" si="6"/>
        <v>IU</v>
      </c>
      <c r="C19" s="470">
        <f>IF(D11="","-",+C18+1)</f>
        <v>2012</v>
      </c>
      <c r="D19" s="471">
        <v>22097</v>
      </c>
      <c r="E19" s="478">
        <v>212.47115384615381</v>
      </c>
      <c r="F19" s="471">
        <v>21884.528846153848</v>
      </c>
      <c r="G19" s="478">
        <v>3258.944937760969</v>
      </c>
      <c r="H19" s="479">
        <v>3258.944937760969</v>
      </c>
      <c r="I19" s="473">
        <f>H19-G19</f>
        <v>0</v>
      </c>
      <c r="J19" s="347"/>
      <c r="K19" s="474">
        <f t="shared" si="1"/>
        <v>3258.944937760969</v>
      </c>
      <c r="L19" s="347">
        <f t="shared" si="2"/>
        <v>0</v>
      </c>
      <c r="M19" s="474">
        <f t="shared" si="3"/>
        <v>3258.944937760969</v>
      </c>
      <c r="N19" s="473">
        <f t="shared" si="4"/>
        <v>0</v>
      </c>
      <c r="O19" s="476">
        <f t="shared" si="5"/>
        <v>0</v>
      </c>
      <c r="P19" s="241"/>
    </row>
    <row r="20" spans="2:16" ht="12.5">
      <c r="B20" s="160" t="str">
        <f t="shared" si="6"/>
        <v/>
      </c>
      <c r="C20" s="470">
        <f>IF(D11="","-",+C19+1)</f>
        <v>2013</v>
      </c>
      <c r="D20" s="471">
        <v>21884.528846153848</v>
      </c>
      <c r="E20" s="478">
        <v>424.94230769230768</v>
      </c>
      <c r="F20" s="471">
        <v>21459.586538461539</v>
      </c>
      <c r="G20" s="478">
        <v>3489.9423076923076</v>
      </c>
      <c r="H20" s="479">
        <v>3489.9423076923076</v>
      </c>
      <c r="I20" s="473">
        <v>0</v>
      </c>
      <c r="J20" s="473"/>
      <c r="K20" s="474">
        <f t="shared" si="1"/>
        <v>3489.9423076923076</v>
      </c>
      <c r="L20" s="347">
        <f t="shared" ref="L20:L25" si="7">IF(K20&lt;&gt;0,+G20-K20,0)</f>
        <v>0</v>
      </c>
      <c r="M20" s="474">
        <f t="shared" si="3"/>
        <v>3489.9423076923076</v>
      </c>
      <c r="N20" s="473">
        <f t="shared" ref="N20:N25" si="8">IF(M20&lt;&gt;0,+H20-M20,0)</f>
        <v>0</v>
      </c>
      <c r="O20" s="476">
        <f t="shared" ref="O20:O25" si="9">+N20-L20</f>
        <v>0</v>
      </c>
      <c r="P20" s="241"/>
    </row>
    <row r="21" spans="2:16" ht="12.5">
      <c r="B21" s="160" t="str">
        <f t="shared" si="6"/>
        <v/>
      </c>
      <c r="C21" s="470">
        <f>IF(D11="","-",+C20+1)</f>
        <v>2014</v>
      </c>
      <c r="D21" s="471">
        <v>21459.586538461539</v>
      </c>
      <c r="E21" s="478">
        <v>424.94230769230768</v>
      </c>
      <c r="F21" s="471">
        <v>21034.64423076923</v>
      </c>
      <c r="G21" s="478">
        <v>3320.9423076923076</v>
      </c>
      <c r="H21" s="479">
        <v>3320.9423076923076</v>
      </c>
      <c r="I21" s="473">
        <v>0</v>
      </c>
      <c r="J21" s="473"/>
      <c r="K21" s="474">
        <f t="shared" si="1"/>
        <v>3320.9423076923076</v>
      </c>
      <c r="L21" s="347">
        <f t="shared" si="7"/>
        <v>0</v>
      </c>
      <c r="M21" s="474">
        <f t="shared" si="3"/>
        <v>3320.9423076923076</v>
      </c>
      <c r="N21" s="473">
        <f t="shared" si="8"/>
        <v>0</v>
      </c>
      <c r="O21" s="476">
        <f t="shared" si="9"/>
        <v>0</v>
      </c>
      <c r="P21" s="241"/>
    </row>
    <row r="22" spans="2:16" ht="12.5">
      <c r="B22" s="160" t="str">
        <f t="shared" si="6"/>
        <v/>
      </c>
      <c r="C22" s="470">
        <f>IF(D11="","-",+C21+1)</f>
        <v>2015</v>
      </c>
      <c r="D22" s="471">
        <v>21034.64423076923</v>
      </c>
      <c r="E22" s="478">
        <v>424.94230769230768</v>
      </c>
      <c r="F22" s="471">
        <v>20609.701923076922</v>
      </c>
      <c r="G22" s="478">
        <v>3265.9423076923076</v>
      </c>
      <c r="H22" s="479">
        <v>3265.9423076923076</v>
      </c>
      <c r="I22" s="473">
        <v>0</v>
      </c>
      <c r="J22" s="473"/>
      <c r="K22" s="474">
        <f t="shared" si="1"/>
        <v>3265.9423076923076</v>
      </c>
      <c r="L22" s="347">
        <f t="shared" si="7"/>
        <v>0</v>
      </c>
      <c r="M22" s="474">
        <f t="shared" si="3"/>
        <v>3265.9423076923076</v>
      </c>
      <c r="N22" s="473">
        <f t="shared" si="8"/>
        <v>0</v>
      </c>
      <c r="O22" s="476">
        <f t="shared" si="9"/>
        <v>0</v>
      </c>
      <c r="P22" s="241"/>
    </row>
    <row r="23" spans="2:16" ht="12.5">
      <c r="B23" s="160" t="str">
        <f t="shared" si="6"/>
        <v/>
      </c>
      <c r="C23" s="470">
        <f>IF(D11="","-",+C22+1)</f>
        <v>2016</v>
      </c>
      <c r="D23" s="471">
        <v>20609.701923076922</v>
      </c>
      <c r="E23" s="478">
        <v>424.94230769230768</v>
      </c>
      <c r="F23" s="471">
        <v>20184.759615384613</v>
      </c>
      <c r="G23" s="478">
        <v>3071.9423076923076</v>
      </c>
      <c r="H23" s="479">
        <v>3071.9423076923076</v>
      </c>
      <c r="I23" s="473">
        <f t="shared" si="0"/>
        <v>0</v>
      </c>
      <c r="J23" s="473"/>
      <c r="K23" s="474">
        <f t="shared" ref="K23:K28" si="10">G23</f>
        <v>3071.9423076923076</v>
      </c>
      <c r="L23" s="347">
        <f t="shared" si="7"/>
        <v>0</v>
      </c>
      <c r="M23" s="474">
        <f t="shared" ref="M23:M28" si="11">H23</f>
        <v>3071.9423076923076</v>
      </c>
      <c r="N23" s="473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2017</v>
      </c>
      <c r="D24" s="471">
        <v>20184.759615384613</v>
      </c>
      <c r="E24" s="478">
        <v>480.36956521739131</v>
      </c>
      <c r="F24" s="471">
        <v>19704.390050167221</v>
      </c>
      <c r="G24" s="478">
        <v>2988.3695652173915</v>
      </c>
      <c r="H24" s="479">
        <v>2988.3695652173915</v>
      </c>
      <c r="I24" s="473">
        <f t="shared" si="0"/>
        <v>0</v>
      </c>
      <c r="J24" s="473"/>
      <c r="K24" s="474">
        <f t="shared" si="10"/>
        <v>2988.3695652173915</v>
      </c>
      <c r="L24" s="347">
        <f t="shared" si="7"/>
        <v>0</v>
      </c>
      <c r="M24" s="474">
        <f t="shared" si="11"/>
        <v>2988.3695652173915</v>
      </c>
      <c r="N24" s="473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6"/>
        <v/>
      </c>
      <c r="C25" s="470">
        <f>IF(D11="","-",+C24+1)</f>
        <v>2018</v>
      </c>
      <c r="D25" s="471">
        <v>19704.390050167221</v>
      </c>
      <c r="E25" s="478">
        <v>491.04444444444442</v>
      </c>
      <c r="F25" s="471">
        <v>19213.345605722778</v>
      </c>
      <c r="G25" s="478">
        <v>2821.4178428916557</v>
      </c>
      <c r="H25" s="479">
        <v>2821.4178428916557</v>
      </c>
      <c r="I25" s="473">
        <f t="shared" si="0"/>
        <v>0</v>
      </c>
      <c r="J25" s="473"/>
      <c r="K25" s="474">
        <f t="shared" si="10"/>
        <v>2821.4178428916557</v>
      </c>
      <c r="L25" s="347">
        <f t="shared" si="7"/>
        <v>0</v>
      </c>
      <c r="M25" s="474">
        <f t="shared" si="11"/>
        <v>2821.4178428916557</v>
      </c>
      <c r="N25" s="473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2019</v>
      </c>
      <c r="D26" s="471">
        <v>19213.345605722778</v>
      </c>
      <c r="E26" s="478">
        <v>552.42499999999995</v>
      </c>
      <c r="F26" s="471">
        <v>18660.920605722778</v>
      </c>
      <c r="G26" s="478">
        <v>2666.8814890183439</v>
      </c>
      <c r="H26" s="479">
        <v>2666.8814890183439</v>
      </c>
      <c r="I26" s="473">
        <f t="shared" si="0"/>
        <v>0</v>
      </c>
      <c r="J26" s="473"/>
      <c r="K26" s="474">
        <f t="shared" si="10"/>
        <v>2666.8814890183439</v>
      </c>
      <c r="L26" s="347">
        <f t="shared" ref="L26" si="12">IF(K26&lt;&gt;0,+G26-K26,0)</f>
        <v>0</v>
      </c>
      <c r="M26" s="474">
        <f t="shared" si="11"/>
        <v>2666.8814890183439</v>
      </c>
      <c r="N26" s="473">
        <f t="shared" ref="N26" si="13">IF(M26&lt;&gt;0,+H26-M26,0)</f>
        <v>0</v>
      </c>
      <c r="O26" s="476">
        <f t="shared" si="5"/>
        <v>0</v>
      </c>
      <c r="P26" s="241"/>
    </row>
    <row r="27" spans="2:16" ht="12.5">
      <c r="B27" s="160" t="str">
        <f t="shared" si="6"/>
        <v>IU</v>
      </c>
      <c r="C27" s="470">
        <f>IF(D11="","-",+C26+1)</f>
        <v>2020</v>
      </c>
      <c r="D27" s="471">
        <v>18722.301161278334</v>
      </c>
      <c r="E27" s="478">
        <v>526.11904761904759</v>
      </c>
      <c r="F27" s="471">
        <v>18196.182113659288</v>
      </c>
      <c r="G27" s="478">
        <v>2519.8053226007855</v>
      </c>
      <c r="H27" s="479">
        <v>2519.8053226007855</v>
      </c>
      <c r="I27" s="473">
        <f t="shared" si="0"/>
        <v>0</v>
      </c>
      <c r="J27" s="473"/>
      <c r="K27" s="474">
        <f t="shared" si="10"/>
        <v>2519.8053226007855</v>
      </c>
      <c r="L27" s="347">
        <f t="shared" ref="L27" si="14">IF(K27&lt;&gt;0,+G27-K27,0)</f>
        <v>0</v>
      </c>
      <c r="M27" s="474">
        <f t="shared" si="11"/>
        <v>2519.8053226007855</v>
      </c>
      <c r="N27" s="476">
        <f t="shared" si="4"/>
        <v>0</v>
      </c>
      <c r="O27" s="476">
        <f t="shared" si="5"/>
        <v>0</v>
      </c>
      <c r="P27" s="241"/>
    </row>
    <row r="28" spans="2:16" ht="12.5">
      <c r="B28" s="160" t="str">
        <f t="shared" si="6"/>
        <v>IU</v>
      </c>
      <c r="C28" s="470">
        <f>IF(D11="","-",+C27+1)</f>
        <v>2021</v>
      </c>
      <c r="D28" s="471">
        <v>18134.801558103733</v>
      </c>
      <c r="E28" s="478">
        <v>513.88372093023258</v>
      </c>
      <c r="F28" s="471">
        <v>17620.9178371735</v>
      </c>
      <c r="G28" s="478">
        <v>2413.8837209302328</v>
      </c>
      <c r="H28" s="479">
        <v>2413.8837209302328</v>
      </c>
      <c r="I28" s="473">
        <f t="shared" si="0"/>
        <v>0</v>
      </c>
      <c r="J28" s="473"/>
      <c r="K28" s="474">
        <f t="shared" si="10"/>
        <v>2413.8837209302328</v>
      </c>
      <c r="L28" s="347">
        <f t="shared" ref="L28" si="15">IF(K28&lt;&gt;0,+G28-K28,0)</f>
        <v>0</v>
      </c>
      <c r="M28" s="474">
        <f t="shared" si="11"/>
        <v>2413.8837209302328</v>
      </c>
      <c r="N28" s="476">
        <f t="shared" si="4"/>
        <v>0</v>
      </c>
      <c r="O28" s="476">
        <f t="shared" si="5"/>
        <v>0</v>
      </c>
      <c r="P28" s="241"/>
    </row>
    <row r="29" spans="2:16" ht="12.5">
      <c r="B29" s="160" t="str">
        <f t="shared" si="6"/>
        <v/>
      </c>
      <c r="C29" s="470">
        <f>IF(D11="","-",+C28+1)</f>
        <v>2022</v>
      </c>
      <c r="D29" s="471">
        <v>17620.9178371735</v>
      </c>
      <c r="E29" s="478">
        <v>526.11904761904759</v>
      </c>
      <c r="F29" s="471">
        <v>17094.798789554454</v>
      </c>
      <c r="G29" s="478">
        <v>2369.1190476190477</v>
      </c>
      <c r="H29" s="479">
        <v>2369.1190476190477</v>
      </c>
      <c r="I29" s="473">
        <f t="shared" si="0"/>
        <v>0</v>
      </c>
      <c r="J29" s="473"/>
      <c r="K29" s="474">
        <f t="shared" ref="K29" si="16">G29</f>
        <v>2369.1190476190477</v>
      </c>
      <c r="L29" s="347">
        <f t="shared" ref="L29" si="17">IF(K29&lt;&gt;0,+G29-K29,0)</f>
        <v>0</v>
      </c>
      <c r="M29" s="474">
        <f t="shared" ref="M29" si="18">H29</f>
        <v>2369.1190476190477</v>
      </c>
      <c r="N29" s="476">
        <f t="shared" si="4"/>
        <v>0</v>
      </c>
      <c r="O29" s="476">
        <f t="shared" si="5"/>
        <v>0</v>
      </c>
      <c r="P29" s="241"/>
    </row>
    <row r="30" spans="2:16" ht="12.5">
      <c r="B30" s="160" t="str">
        <f t="shared" si="6"/>
        <v/>
      </c>
      <c r="C30" s="470">
        <f>IF(D11="","-",+C29+1)</f>
        <v>2023</v>
      </c>
      <c r="D30" s="471">
        <v>17094.798789554454</v>
      </c>
      <c r="E30" s="478">
        <v>566.58974358974353</v>
      </c>
      <c r="F30" s="471">
        <v>16528.209045964712</v>
      </c>
      <c r="G30" s="478">
        <v>2539.5897435897436</v>
      </c>
      <c r="H30" s="479">
        <v>2539.5897435897436</v>
      </c>
      <c r="I30" s="473">
        <f t="shared" si="0"/>
        <v>0</v>
      </c>
      <c r="J30" s="473"/>
      <c r="K30" s="474">
        <f t="shared" ref="K30" si="19">G30</f>
        <v>2539.5897435897436</v>
      </c>
      <c r="L30" s="347">
        <f t="shared" ref="L30" si="20">IF(K30&lt;&gt;0,+G30-K30,0)</f>
        <v>0</v>
      </c>
      <c r="M30" s="474">
        <f t="shared" ref="M30" si="21">H30</f>
        <v>2539.5897435897436</v>
      </c>
      <c r="N30" s="476">
        <f t="shared" si="4"/>
        <v>0</v>
      </c>
      <c r="O30" s="476">
        <f t="shared" si="5"/>
        <v>0</v>
      </c>
      <c r="P30" s="241"/>
    </row>
    <row r="31" spans="2:16" ht="12.5">
      <c r="B31" s="160" t="str">
        <f t="shared" si="6"/>
        <v/>
      </c>
      <c r="C31" s="470">
        <f>IF(D11="","-",+C30+1)</f>
        <v>2024</v>
      </c>
      <c r="D31" s="483">
        <f>IF(F30+SUM(E$17:E30)=D$10,F30,D$10-SUM(E$17:E30))</f>
        <v>16528.209045964712</v>
      </c>
      <c r="E31" s="482">
        <f>IF(+I14&lt;F30,I14,D31)</f>
        <v>566.58974358974353</v>
      </c>
      <c r="F31" s="483">
        <f t="shared" ref="F31:F48" si="22">+D31-E31</f>
        <v>15961.619302374967</v>
      </c>
      <c r="G31" s="484">
        <f t="shared" ref="G31:G72" si="23">(D31+F31)/2*I$12+E31</f>
        <v>2505.5656529283688</v>
      </c>
      <c r="H31" s="453">
        <f t="shared" ref="H31:H72" si="24">+(D31+F31)/2*I$13+E31</f>
        <v>2505.5656529283688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 ht="12.5">
      <c r="B32" s="160" t="str">
        <f t="shared" si="6"/>
        <v/>
      </c>
      <c r="C32" s="470">
        <f>IF(D11="","-",+C31+1)</f>
        <v>2025</v>
      </c>
      <c r="D32" s="483">
        <f>IF(F31+SUM(E$17:E31)=D$10,F31,D$10-SUM(E$17:E31))</f>
        <v>15961.619302374967</v>
      </c>
      <c r="E32" s="482">
        <f>IF(+I14&lt;F31,I14,D32)</f>
        <v>566.58974358974353</v>
      </c>
      <c r="F32" s="483">
        <f t="shared" si="22"/>
        <v>15395.029558785223</v>
      </c>
      <c r="G32" s="484">
        <f t="shared" si="23"/>
        <v>2437.9380956805935</v>
      </c>
      <c r="H32" s="453">
        <f t="shared" si="24"/>
        <v>2437.9380956805935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 ht="12.5">
      <c r="B33" s="160" t="str">
        <f t="shared" si="6"/>
        <v/>
      </c>
      <c r="C33" s="470">
        <f>IF(D11="","-",+C32+1)</f>
        <v>2026</v>
      </c>
      <c r="D33" s="483">
        <f>IF(F32+SUM(E$17:E32)=D$10,F32,D$10-SUM(E$17:E32))</f>
        <v>15395.029558785223</v>
      </c>
      <c r="E33" s="482">
        <f>IF(+I14&lt;F32,I14,D33)</f>
        <v>566.58974358974353</v>
      </c>
      <c r="F33" s="483">
        <f t="shared" si="22"/>
        <v>14828.439815195479</v>
      </c>
      <c r="G33" s="484">
        <f t="shared" si="23"/>
        <v>2370.3105384328187</v>
      </c>
      <c r="H33" s="453">
        <f t="shared" si="24"/>
        <v>2370.3105384328187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 ht="12.5">
      <c r="B34" s="160" t="str">
        <f t="shared" si="6"/>
        <v/>
      </c>
      <c r="C34" s="470">
        <f>IF(D11="","-",+C33+1)</f>
        <v>2027</v>
      </c>
      <c r="D34" s="483">
        <f>IF(F33+SUM(E$17:E33)=D$10,F33,D$10-SUM(E$17:E33))</f>
        <v>14828.439815195479</v>
      </c>
      <c r="E34" s="482">
        <f>IF(+I14&lt;F33,I14,D34)</f>
        <v>566.58974358974353</v>
      </c>
      <c r="F34" s="483">
        <f t="shared" si="22"/>
        <v>14261.850071605735</v>
      </c>
      <c r="G34" s="484">
        <f t="shared" si="23"/>
        <v>2302.6829811850434</v>
      </c>
      <c r="H34" s="453">
        <f t="shared" si="24"/>
        <v>2302.6829811850434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 ht="12.5">
      <c r="B35" s="160" t="str">
        <f t="shared" si="6"/>
        <v/>
      </c>
      <c r="C35" s="470">
        <f>IF(D11="","-",+C34+1)</f>
        <v>2028</v>
      </c>
      <c r="D35" s="483">
        <f>IF(F34+SUM(E$17:E34)=D$10,F34,D$10-SUM(E$17:E34))</f>
        <v>14261.850071605735</v>
      </c>
      <c r="E35" s="482">
        <f>IF(+I14&lt;F34,I14,D35)</f>
        <v>566.58974358974353</v>
      </c>
      <c r="F35" s="483">
        <f t="shared" si="22"/>
        <v>13695.260328015991</v>
      </c>
      <c r="G35" s="484">
        <f t="shared" si="23"/>
        <v>2235.0554239372686</v>
      </c>
      <c r="H35" s="453">
        <f t="shared" si="24"/>
        <v>2235.0554239372686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 ht="12.5">
      <c r="B36" s="160" t="str">
        <f t="shared" si="6"/>
        <v/>
      </c>
      <c r="C36" s="470">
        <f>IF(D11="","-",+C35+1)</f>
        <v>2029</v>
      </c>
      <c r="D36" s="483">
        <f>IF(F35+SUM(E$17:E35)=D$10,F35,D$10-SUM(E$17:E35))</f>
        <v>13695.260328015991</v>
      </c>
      <c r="E36" s="482">
        <f>IF(+I14&lt;F35,I14,D36)</f>
        <v>566.58974358974353</v>
      </c>
      <c r="F36" s="483">
        <f t="shared" si="22"/>
        <v>13128.670584426247</v>
      </c>
      <c r="G36" s="484">
        <f t="shared" si="23"/>
        <v>2167.4278666894934</v>
      </c>
      <c r="H36" s="453">
        <f t="shared" si="24"/>
        <v>2167.4278666894934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 ht="12.5">
      <c r="B37" s="160" t="str">
        <f t="shared" si="6"/>
        <v/>
      </c>
      <c r="C37" s="470">
        <f>IF(D11="","-",+C36+1)</f>
        <v>2030</v>
      </c>
      <c r="D37" s="483">
        <f>IF(F36+SUM(E$17:E36)=D$10,F36,D$10-SUM(E$17:E36))</f>
        <v>13128.670584426247</v>
      </c>
      <c r="E37" s="482">
        <f>IF(+I14&lt;F36,I14,D37)</f>
        <v>566.58974358974353</v>
      </c>
      <c r="F37" s="483">
        <f t="shared" si="22"/>
        <v>12562.080840836503</v>
      </c>
      <c r="G37" s="484">
        <f t="shared" si="23"/>
        <v>2099.8003094417186</v>
      </c>
      <c r="H37" s="453">
        <f t="shared" si="24"/>
        <v>2099.8003094417186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 ht="12.5">
      <c r="B38" s="160" t="str">
        <f t="shared" si="6"/>
        <v/>
      </c>
      <c r="C38" s="470">
        <f>IF(D11="","-",+C37+1)</f>
        <v>2031</v>
      </c>
      <c r="D38" s="483">
        <f>IF(F37+SUM(E$17:E37)=D$10,F37,D$10-SUM(E$17:E37))</f>
        <v>12562.080840836503</v>
      </c>
      <c r="E38" s="482">
        <f>IF(+I14&lt;F37,I14,D38)</f>
        <v>566.58974358974353</v>
      </c>
      <c r="F38" s="483">
        <f t="shared" si="22"/>
        <v>11995.491097246759</v>
      </c>
      <c r="G38" s="484">
        <f t="shared" si="23"/>
        <v>2032.1727521939433</v>
      </c>
      <c r="H38" s="453">
        <f t="shared" si="24"/>
        <v>2032.1727521939433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 ht="12.5">
      <c r="B39" s="160" t="str">
        <f t="shared" si="6"/>
        <v/>
      </c>
      <c r="C39" s="470">
        <f>IF(D11="","-",+C38+1)</f>
        <v>2032</v>
      </c>
      <c r="D39" s="483">
        <f>IF(F38+SUM(E$17:E38)=D$10,F38,D$10-SUM(E$17:E38))</f>
        <v>11995.491097246759</v>
      </c>
      <c r="E39" s="482">
        <f>IF(+I14&lt;F38,I14,D39)</f>
        <v>566.58974358974353</v>
      </c>
      <c r="F39" s="483">
        <f t="shared" si="22"/>
        <v>11428.901353657015</v>
      </c>
      <c r="G39" s="484">
        <f t="shared" si="23"/>
        <v>1964.5451949461685</v>
      </c>
      <c r="H39" s="453">
        <f t="shared" si="24"/>
        <v>1964.5451949461685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 ht="12.5">
      <c r="B40" s="160" t="str">
        <f t="shared" si="6"/>
        <v/>
      </c>
      <c r="C40" s="470">
        <f>IF(D11="","-",+C39+1)</f>
        <v>2033</v>
      </c>
      <c r="D40" s="483">
        <f>IF(F39+SUM(E$17:E39)=D$10,F39,D$10-SUM(E$17:E39))</f>
        <v>11428.901353657015</v>
      </c>
      <c r="E40" s="482">
        <f>IF(+I14&lt;F39,I14,D40)</f>
        <v>566.58974358974353</v>
      </c>
      <c r="F40" s="483">
        <f t="shared" si="22"/>
        <v>10862.311610067271</v>
      </c>
      <c r="G40" s="484">
        <f t="shared" si="23"/>
        <v>1896.9176376983933</v>
      </c>
      <c r="H40" s="453">
        <f t="shared" si="24"/>
        <v>1896.9176376983933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 ht="12.5">
      <c r="B41" s="160" t="str">
        <f t="shared" si="6"/>
        <v/>
      </c>
      <c r="C41" s="470">
        <f>IF(D11="","-",+C40+1)</f>
        <v>2034</v>
      </c>
      <c r="D41" s="483">
        <f>IF(F40+SUM(E$17:E40)=D$10,F40,D$10-SUM(E$17:E40))</f>
        <v>10862.311610067271</v>
      </c>
      <c r="E41" s="482">
        <f>IF(+I14&lt;F40,I14,D41)</f>
        <v>566.58974358974353</v>
      </c>
      <c r="F41" s="483">
        <f t="shared" si="22"/>
        <v>10295.721866477526</v>
      </c>
      <c r="G41" s="484">
        <f t="shared" si="23"/>
        <v>1829.2900804506185</v>
      </c>
      <c r="H41" s="453">
        <f t="shared" si="24"/>
        <v>1829.2900804506185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 ht="12.5">
      <c r="B42" s="160" t="str">
        <f t="shared" si="6"/>
        <v/>
      </c>
      <c r="C42" s="470">
        <f>IF(D11="","-",+C41+1)</f>
        <v>2035</v>
      </c>
      <c r="D42" s="483">
        <f>IF(F41+SUM(E$17:E41)=D$10,F41,D$10-SUM(E$17:E41))</f>
        <v>10295.721866477526</v>
      </c>
      <c r="E42" s="482">
        <f>IF(+I14&lt;F41,I14,D42)</f>
        <v>566.58974358974353</v>
      </c>
      <c r="F42" s="483">
        <f t="shared" si="22"/>
        <v>9729.1321228877823</v>
      </c>
      <c r="G42" s="484">
        <f t="shared" si="23"/>
        <v>1761.6625232028432</v>
      </c>
      <c r="H42" s="453">
        <f t="shared" si="24"/>
        <v>1761.6625232028432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 ht="12.5">
      <c r="B43" s="160" t="str">
        <f t="shared" si="6"/>
        <v/>
      </c>
      <c r="C43" s="470">
        <f>IF(D11="","-",+C42+1)</f>
        <v>2036</v>
      </c>
      <c r="D43" s="483">
        <f>IF(F42+SUM(E$17:E42)=D$10,F42,D$10-SUM(E$17:E42))</f>
        <v>9729.1321228877823</v>
      </c>
      <c r="E43" s="482">
        <f>IF(+I14&lt;F42,I14,D43)</f>
        <v>566.58974358974353</v>
      </c>
      <c r="F43" s="483">
        <f t="shared" si="22"/>
        <v>9162.5423792980382</v>
      </c>
      <c r="G43" s="484">
        <f t="shared" si="23"/>
        <v>1694.0349659550684</v>
      </c>
      <c r="H43" s="453">
        <f t="shared" si="24"/>
        <v>1694.0349659550684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 ht="12.5">
      <c r="B44" s="160" t="str">
        <f t="shared" si="6"/>
        <v/>
      </c>
      <c r="C44" s="470">
        <f>IF(D11="","-",+C43+1)</f>
        <v>2037</v>
      </c>
      <c r="D44" s="483">
        <f>IF(F43+SUM(E$17:E43)=D$10,F43,D$10-SUM(E$17:E43))</f>
        <v>9162.5423792980382</v>
      </c>
      <c r="E44" s="482">
        <f>IF(+I14&lt;F43,I14,D44)</f>
        <v>566.58974358974353</v>
      </c>
      <c r="F44" s="483">
        <f t="shared" si="22"/>
        <v>8595.9526357082941</v>
      </c>
      <c r="G44" s="484">
        <f t="shared" si="23"/>
        <v>1626.4074087072931</v>
      </c>
      <c r="H44" s="453">
        <f t="shared" si="24"/>
        <v>1626.4074087072931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 ht="12.5">
      <c r="B45" s="160" t="str">
        <f t="shared" si="6"/>
        <v/>
      </c>
      <c r="C45" s="470">
        <f>IF(D11="","-",+C44+1)</f>
        <v>2038</v>
      </c>
      <c r="D45" s="483">
        <f>IF(F44+SUM(E$17:E44)=D$10,F44,D$10-SUM(E$17:E44))</f>
        <v>8595.9526357082941</v>
      </c>
      <c r="E45" s="482">
        <f>IF(+I14&lt;F44,I14,D45)</f>
        <v>566.58974358974353</v>
      </c>
      <c r="F45" s="483">
        <f t="shared" si="22"/>
        <v>8029.3628921185509</v>
      </c>
      <c r="G45" s="484">
        <f t="shared" si="23"/>
        <v>1558.7798514595186</v>
      </c>
      <c r="H45" s="453">
        <f t="shared" si="24"/>
        <v>1558.7798514595186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 ht="12.5">
      <c r="B46" s="160" t="str">
        <f t="shared" si="6"/>
        <v/>
      </c>
      <c r="C46" s="470">
        <f>IF(D11="","-",+C45+1)</f>
        <v>2039</v>
      </c>
      <c r="D46" s="483">
        <f>IF(F45+SUM(E$17:E45)=D$10,F45,D$10-SUM(E$17:E45))</f>
        <v>8029.3628921185509</v>
      </c>
      <c r="E46" s="482">
        <f>IF(+I14&lt;F45,I14,D46)</f>
        <v>566.58974358974353</v>
      </c>
      <c r="F46" s="483">
        <f t="shared" si="22"/>
        <v>7462.7731485288077</v>
      </c>
      <c r="G46" s="484">
        <f t="shared" si="23"/>
        <v>1491.1522942117435</v>
      </c>
      <c r="H46" s="453">
        <f t="shared" si="24"/>
        <v>1491.1522942117435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 ht="12.5">
      <c r="B47" s="160" t="str">
        <f t="shared" si="6"/>
        <v/>
      </c>
      <c r="C47" s="470">
        <f>IF(D11="","-",+C46+1)</f>
        <v>2040</v>
      </c>
      <c r="D47" s="483">
        <f>IF(F46+SUM(E$17:E46)=D$10,F46,D$10-SUM(E$17:E46))</f>
        <v>7462.7731485288077</v>
      </c>
      <c r="E47" s="482">
        <f>IF(+I14&lt;F46,I14,D47)</f>
        <v>566.58974358974353</v>
      </c>
      <c r="F47" s="483">
        <f t="shared" si="22"/>
        <v>6896.1834049390645</v>
      </c>
      <c r="G47" s="484">
        <f t="shared" si="23"/>
        <v>1423.5247369639687</v>
      </c>
      <c r="H47" s="453">
        <f t="shared" si="24"/>
        <v>1423.5247369639687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 ht="12.5">
      <c r="B48" s="160" t="str">
        <f t="shared" si="6"/>
        <v/>
      </c>
      <c r="C48" s="470">
        <f>IF(D11="","-",+C47+1)</f>
        <v>2041</v>
      </c>
      <c r="D48" s="483">
        <f>IF(F47+SUM(E$17:E47)=D$10,F47,D$10-SUM(E$17:E47))</f>
        <v>6896.1834049390645</v>
      </c>
      <c r="E48" s="482">
        <f>IF(+I14&lt;F47,I14,D48)</f>
        <v>566.58974358974353</v>
      </c>
      <c r="F48" s="483">
        <f t="shared" si="22"/>
        <v>6329.5936613493213</v>
      </c>
      <c r="G48" s="484">
        <f t="shared" si="23"/>
        <v>1355.8971797161937</v>
      </c>
      <c r="H48" s="453">
        <f t="shared" si="24"/>
        <v>1355.8971797161937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 ht="12.5">
      <c r="B49" s="160" t="str">
        <f t="shared" si="6"/>
        <v/>
      </c>
      <c r="C49" s="470">
        <f>IF(D11="","-",+C48+1)</f>
        <v>2042</v>
      </c>
      <c r="D49" s="483">
        <f>IF(F48+SUM(E$17:E48)=D$10,F48,D$10-SUM(E$17:E48))</f>
        <v>6329.5936613493213</v>
      </c>
      <c r="E49" s="482">
        <f>IF(+I14&lt;F48,I14,D49)</f>
        <v>566.58974358974353</v>
      </c>
      <c r="F49" s="483">
        <f t="shared" ref="F49:F72" si="25">+D49-E49</f>
        <v>5763.0039177595781</v>
      </c>
      <c r="G49" s="484">
        <f t="shared" si="23"/>
        <v>1288.2696224684189</v>
      </c>
      <c r="H49" s="453">
        <f t="shared" si="24"/>
        <v>1288.2696224684189</v>
      </c>
      <c r="I49" s="473">
        <f t="shared" ref="I49:I72" si="26">H49-G49</f>
        <v>0</v>
      </c>
      <c r="J49" s="473"/>
      <c r="K49" s="485"/>
      <c r="L49" s="476">
        <f t="shared" ref="L49:L72" si="27">IF(K49&lt;&gt;0,+G49-K49,0)</f>
        <v>0</v>
      </c>
      <c r="M49" s="485"/>
      <c r="N49" s="476">
        <f t="shared" ref="N49:N72" si="28">IF(M49&lt;&gt;0,+H49-M49,0)</f>
        <v>0</v>
      </c>
      <c r="O49" s="476">
        <f t="shared" ref="O49:O72" si="29">+N49-L49</f>
        <v>0</v>
      </c>
      <c r="P49" s="241"/>
    </row>
    <row r="50" spans="2:16" ht="12.5">
      <c r="B50" s="160" t="str">
        <f t="shared" ref="B50:B72" si="30">IF(D50=F49,"","IU")</f>
        <v/>
      </c>
      <c r="C50" s="470">
        <f>IF(D11="","-",+C49+1)</f>
        <v>2043</v>
      </c>
      <c r="D50" s="483">
        <f>IF(F49+SUM(E$17:E49)=D$10,F49,D$10-SUM(E$17:E49))</f>
        <v>5763.0039177595781</v>
      </c>
      <c r="E50" s="482">
        <f>IF(+I14&lt;F49,I14,D50)</f>
        <v>566.58974358974353</v>
      </c>
      <c r="F50" s="483">
        <f t="shared" si="25"/>
        <v>5196.414174169835</v>
      </c>
      <c r="G50" s="484">
        <f t="shared" si="23"/>
        <v>1220.6420652206439</v>
      </c>
      <c r="H50" s="453">
        <f t="shared" si="24"/>
        <v>1220.6420652206439</v>
      </c>
      <c r="I50" s="473">
        <f t="shared" si="26"/>
        <v>0</v>
      </c>
      <c r="J50" s="473"/>
      <c r="K50" s="485"/>
      <c r="L50" s="476">
        <f t="shared" si="27"/>
        <v>0</v>
      </c>
      <c r="M50" s="485"/>
      <c r="N50" s="476">
        <f t="shared" si="28"/>
        <v>0</v>
      </c>
      <c r="O50" s="476">
        <f t="shared" si="29"/>
        <v>0</v>
      </c>
      <c r="P50" s="241"/>
    </row>
    <row r="51" spans="2:16" ht="12.5">
      <c r="B51" s="160" t="str">
        <f t="shared" si="30"/>
        <v/>
      </c>
      <c r="C51" s="470">
        <f>IF(D11="","-",+C50+1)</f>
        <v>2044</v>
      </c>
      <c r="D51" s="483">
        <f>IF(F50+SUM(E$17:E50)=D$10,F50,D$10-SUM(E$17:E50))</f>
        <v>5196.414174169835</v>
      </c>
      <c r="E51" s="482">
        <f>IF(+I14&lt;F50,I14,D51)</f>
        <v>566.58974358974353</v>
      </c>
      <c r="F51" s="483">
        <f t="shared" si="25"/>
        <v>4629.8244305800918</v>
      </c>
      <c r="G51" s="484">
        <f t="shared" si="23"/>
        <v>1153.0145079728691</v>
      </c>
      <c r="H51" s="453">
        <f t="shared" si="24"/>
        <v>1153.0145079728691</v>
      </c>
      <c r="I51" s="473">
        <f t="shared" si="26"/>
        <v>0</v>
      </c>
      <c r="J51" s="473"/>
      <c r="K51" s="485"/>
      <c r="L51" s="476">
        <f t="shared" si="27"/>
        <v>0</v>
      </c>
      <c r="M51" s="485"/>
      <c r="N51" s="476">
        <f t="shared" si="28"/>
        <v>0</v>
      </c>
      <c r="O51" s="476">
        <f t="shared" si="29"/>
        <v>0</v>
      </c>
      <c r="P51" s="241"/>
    </row>
    <row r="52" spans="2:16" ht="12.5">
      <c r="B52" s="160" t="str">
        <f t="shared" si="30"/>
        <v/>
      </c>
      <c r="C52" s="470">
        <f>IF(D11="","-",+C51+1)</f>
        <v>2045</v>
      </c>
      <c r="D52" s="483">
        <f>IF(F51+SUM(E$17:E51)=D$10,F51,D$10-SUM(E$17:E51))</f>
        <v>4629.8244305800918</v>
      </c>
      <c r="E52" s="482">
        <f>IF(+I14&lt;F51,I14,D52)</f>
        <v>566.58974358974353</v>
      </c>
      <c r="F52" s="483">
        <f t="shared" si="25"/>
        <v>4063.2346869903481</v>
      </c>
      <c r="G52" s="484">
        <f t="shared" si="23"/>
        <v>1085.3869507250943</v>
      </c>
      <c r="H52" s="453">
        <f t="shared" si="24"/>
        <v>1085.3869507250943</v>
      </c>
      <c r="I52" s="473">
        <f t="shared" si="26"/>
        <v>0</v>
      </c>
      <c r="J52" s="473"/>
      <c r="K52" s="485"/>
      <c r="L52" s="476">
        <f t="shared" si="27"/>
        <v>0</v>
      </c>
      <c r="M52" s="485"/>
      <c r="N52" s="476">
        <f t="shared" si="28"/>
        <v>0</v>
      </c>
      <c r="O52" s="476">
        <f t="shared" si="29"/>
        <v>0</v>
      </c>
      <c r="P52" s="241"/>
    </row>
    <row r="53" spans="2:16" ht="12.5">
      <c r="B53" s="160" t="str">
        <f t="shared" si="30"/>
        <v/>
      </c>
      <c r="C53" s="470">
        <f>IF(D11="","-",+C52+1)</f>
        <v>2046</v>
      </c>
      <c r="D53" s="483">
        <f>IF(F52+SUM(E$17:E52)=D$10,F52,D$10-SUM(E$17:E52))</f>
        <v>4063.2346869903481</v>
      </c>
      <c r="E53" s="482">
        <f>IF(+I14&lt;F52,I14,D53)</f>
        <v>566.58974358974353</v>
      </c>
      <c r="F53" s="483">
        <f t="shared" si="25"/>
        <v>3496.6449434006045</v>
      </c>
      <c r="G53" s="484">
        <f t="shared" si="23"/>
        <v>1017.7593934773192</v>
      </c>
      <c r="H53" s="453">
        <f t="shared" si="24"/>
        <v>1017.7593934773192</v>
      </c>
      <c r="I53" s="473">
        <f t="shared" si="26"/>
        <v>0</v>
      </c>
      <c r="J53" s="473"/>
      <c r="K53" s="485"/>
      <c r="L53" s="476">
        <f t="shared" si="27"/>
        <v>0</v>
      </c>
      <c r="M53" s="485"/>
      <c r="N53" s="476">
        <f t="shared" si="28"/>
        <v>0</v>
      </c>
      <c r="O53" s="476">
        <f t="shared" si="29"/>
        <v>0</v>
      </c>
      <c r="P53" s="241"/>
    </row>
    <row r="54" spans="2:16" ht="12.5">
      <c r="B54" s="160" t="str">
        <f t="shared" si="30"/>
        <v/>
      </c>
      <c r="C54" s="470">
        <f>IF(D11="","-",+C53+1)</f>
        <v>2047</v>
      </c>
      <c r="D54" s="483">
        <f>IF(F53+SUM(E$17:E53)=D$10,F53,D$10-SUM(E$17:E53))</f>
        <v>3496.6449434006045</v>
      </c>
      <c r="E54" s="482">
        <f>IF(+I14&lt;F53,I14,D54)</f>
        <v>566.58974358974353</v>
      </c>
      <c r="F54" s="483">
        <f t="shared" si="25"/>
        <v>2930.0551998108608</v>
      </c>
      <c r="G54" s="484">
        <f t="shared" si="23"/>
        <v>950.13183622954421</v>
      </c>
      <c r="H54" s="453">
        <f t="shared" si="24"/>
        <v>950.13183622954421</v>
      </c>
      <c r="I54" s="473">
        <f t="shared" si="26"/>
        <v>0</v>
      </c>
      <c r="J54" s="473"/>
      <c r="K54" s="485"/>
      <c r="L54" s="476">
        <f t="shared" si="27"/>
        <v>0</v>
      </c>
      <c r="M54" s="485"/>
      <c r="N54" s="476">
        <f t="shared" si="28"/>
        <v>0</v>
      </c>
      <c r="O54" s="476">
        <f t="shared" si="29"/>
        <v>0</v>
      </c>
      <c r="P54" s="241"/>
    </row>
    <row r="55" spans="2:16" ht="12.5">
      <c r="B55" s="160" t="str">
        <f t="shared" si="30"/>
        <v/>
      </c>
      <c r="C55" s="470">
        <f>IF(D11="","-",+C54+1)</f>
        <v>2048</v>
      </c>
      <c r="D55" s="483">
        <f>IF(F54+SUM(E$17:E54)=D$10,F54,D$10-SUM(E$17:E54))</f>
        <v>2930.0551998108608</v>
      </c>
      <c r="E55" s="482">
        <f>IF(+I14&lt;F54,I14,D55)</f>
        <v>566.58974358974353</v>
      </c>
      <c r="F55" s="483">
        <f t="shared" si="25"/>
        <v>2363.4654562211172</v>
      </c>
      <c r="G55" s="484">
        <f t="shared" si="23"/>
        <v>882.5042789817694</v>
      </c>
      <c r="H55" s="453">
        <f t="shared" si="24"/>
        <v>882.5042789817694</v>
      </c>
      <c r="I55" s="473">
        <f t="shared" si="26"/>
        <v>0</v>
      </c>
      <c r="J55" s="473"/>
      <c r="K55" s="485"/>
      <c r="L55" s="476">
        <f t="shared" si="27"/>
        <v>0</v>
      </c>
      <c r="M55" s="485"/>
      <c r="N55" s="476">
        <f t="shared" si="28"/>
        <v>0</v>
      </c>
      <c r="O55" s="476">
        <f t="shared" si="29"/>
        <v>0</v>
      </c>
      <c r="P55" s="241"/>
    </row>
    <row r="56" spans="2:16" ht="12.5">
      <c r="B56" s="160" t="str">
        <f t="shared" si="30"/>
        <v/>
      </c>
      <c r="C56" s="470">
        <f>IF(D11="","-",+C55+1)</f>
        <v>2049</v>
      </c>
      <c r="D56" s="483">
        <f>IF(F55+SUM(E$17:E55)=D$10,F55,D$10-SUM(E$17:E55))</f>
        <v>2363.4654562211172</v>
      </c>
      <c r="E56" s="482">
        <f>IF(+I14&lt;F55,I14,D56)</f>
        <v>566.58974358974353</v>
      </c>
      <c r="F56" s="483">
        <f t="shared" si="25"/>
        <v>1796.8757126313735</v>
      </c>
      <c r="G56" s="484">
        <f t="shared" si="23"/>
        <v>814.87672173399437</v>
      </c>
      <c r="H56" s="453">
        <f t="shared" si="24"/>
        <v>814.87672173399437</v>
      </c>
      <c r="I56" s="473">
        <f t="shared" si="26"/>
        <v>0</v>
      </c>
      <c r="J56" s="473"/>
      <c r="K56" s="485"/>
      <c r="L56" s="476">
        <f t="shared" si="27"/>
        <v>0</v>
      </c>
      <c r="M56" s="485"/>
      <c r="N56" s="476">
        <f t="shared" si="28"/>
        <v>0</v>
      </c>
      <c r="O56" s="476">
        <f t="shared" si="29"/>
        <v>0</v>
      </c>
      <c r="P56" s="241"/>
    </row>
    <row r="57" spans="2:16" ht="12.5">
      <c r="B57" s="160" t="str">
        <f t="shared" si="30"/>
        <v/>
      </c>
      <c r="C57" s="470">
        <f>IF(D11="","-",+C56+1)</f>
        <v>2050</v>
      </c>
      <c r="D57" s="483">
        <f>IF(F56+SUM(E$17:E56)=D$10,F56,D$10-SUM(E$17:E56))</f>
        <v>1796.8757126313735</v>
      </c>
      <c r="E57" s="482">
        <f>IF(+I14&lt;F56,I14,D57)</f>
        <v>566.58974358974353</v>
      </c>
      <c r="F57" s="483">
        <f t="shared" si="25"/>
        <v>1230.2859690416299</v>
      </c>
      <c r="G57" s="484">
        <f t="shared" si="23"/>
        <v>747.24916448621946</v>
      </c>
      <c r="H57" s="453">
        <f t="shared" si="24"/>
        <v>747.24916448621946</v>
      </c>
      <c r="I57" s="473">
        <f t="shared" si="26"/>
        <v>0</v>
      </c>
      <c r="J57" s="473"/>
      <c r="K57" s="485"/>
      <c r="L57" s="476">
        <f t="shared" si="27"/>
        <v>0</v>
      </c>
      <c r="M57" s="485"/>
      <c r="N57" s="476">
        <f t="shared" si="28"/>
        <v>0</v>
      </c>
      <c r="O57" s="476">
        <f t="shared" si="29"/>
        <v>0</v>
      </c>
      <c r="P57" s="241"/>
    </row>
    <row r="58" spans="2:16" ht="12.5">
      <c r="B58" s="160" t="str">
        <f t="shared" si="30"/>
        <v/>
      </c>
      <c r="C58" s="470">
        <f>IF(D11="","-",+C57+1)</f>
        <v>2051</v>
      </c>
      <c r="D58" s="483">
        <f>IF(F57+SUM(E$17:E57)=D$10,F57,D$10-SUM(E$17:E57))</f>
        <v>1230.2859690416299</v>
      </c>
      <c r="E58" s="482">
        <f>IF(+I14&lt;F57,I14,D58)</f>
        <v>566.58974358974353</v>
      </c>
      <c r="F58" s="483">
        <f t="shared" si="25"/>
        <v>663.69622545188633</v>
      </c>
      <c r="G58" s="484">
        <f t="shared" si="23"/>
        <v>679.62160723844454</v>
      </c>
      <c r="H58" s="453">
        <f t="shared" si="24"/>
        <v>679.62160723844454</v>
      </c>
      <c r="I58" s="473">
        <f t="shared" si="26"/>
        <v>0</v>
      </c>
      <c r="J58" s="473"/>
      <c r="K58" s="485"/>
      <c r="L58" s="476">
        <f t="shared" si="27"/>
        <v>0</v>
      </c>
      <c r="M58" s="485"/>
      <c r="N58" s="476">
        <f t="shared" si="28"/>
        <v>0</v>
      </c>
      <c r="O58" s="476">
        <f t="shared" si="29"/>
        <v>0</v>
      </c>
      <c r="P58" s="241"/>
    </row>
    <row r="59" spans="2:16" ht="12.5">
      <c r="B59" s="160" t="str">
        <f t="shared" si="30"/>
        <v/>
      </c>
      <c r="C59" s="470">
        <f>IF(D11="","-",+C58+1)</f>
        <v>2052</v>
      </c>
      <c r="D59" s="483">
        <f>IF(F58+SUM(E$17:E58)=D$10,F58,D$10-SUM(E$17:E58))</f>
        <v>663.69622545188633</v>
      </c>
      <c r="E59" s="482">
        <f>IF(+I14&lt;F58,I14,D59)</f>
        <v>566.58974358974353</v>
      </c>
      <c r="F59" s="483">
        <f t="shared" si="25"/>
        <v>97.1064818621428</v>
      </c>
      <c r="G59" s="484">
        <f t="shared" si="23"/>
        <v>611.99404999066951</v>
      </c>
      <c r="H59" s="453">
        <f t="shared" si="24"/>
        <v>611.99404999066951</v>
      </c>
      <c r="I59" s="473">
        <f t="shared" si="26"/>
        <v>0</v>
      </c>
      <c r="J59" s="473"/>
      <c r="K59" s="485"/>
      <c r="L59" s="476">
        <f t="shared" si="27"/>
        <v>0</v>
      </c>
      <c r="M59" s="485"/>
      <c r="N59" s="476">
        <f t="shared" si="28"/>
        <v>0</v>
      </c>
      <c r="O59" s="476">
        <f t="shared" si="29"/>
        <v>0</v>
      </c>
      <c r="P59" s="241"/>
    </row>
    <row r="60" spans="2:16" ht="12.5">
      <c r="B60" s="160" t="str">
        <f t="shared" si="30"/>
        <v/>
      </c>
      <c r="C60" s="470">
        <f>IF(D11="","-",+C59+1)</f>
        <v>2053</v>
      </c>
      <c r="D60" s="483">
        <f>IF(F59+SUM(E$17:E59)=D$10,F59,D$10-SUM(E$17:E59))</f>
        <v>97.1064818621428</v>
      </c>
      <c r="E60" s="482">
        <f>IF(+I14&lt;F59,I14,D60)</f>
        <v>97.1064818621428</v>
      </c>
      <c r="F60" s="483">
        <f t="shared" si="25"/>
        <v>0</v>
      </c>
      <c r="G60" s="484">
        <f t="shared" si="23"/>
        <v>102.90174575066209</v>
      </c>
      <c r="H60" s="453">
        <f t="shared" si="24"/>
        <v>102.90174575066209</v>
      </c>
      <c r="I60" s="473">
        <f t="shared" si="26"/>
        <v>0</v>
      </c>
      <c r="J60" s="473"/>
      <c r="K60" s="485"/>
      <c r="L60" s="476">
        <f t="shared" si="27"/>
        <v>0</v>
      </c>
      <c r="M60" s="485"/>
      <c r="N60" s="476">
        <f t="shared" si="28"/>
        <v>0</v>
      </c>
      <c r="O60" s="476">
        <f t="shared" si="29"/>
        <v>0</v>
      </c>
      <c r="P60" s="241"/>
    </row>
    <row r="61" spans="2:16" ht="12.5">
      <c r="B61" s="160" t="str">
        <f t="shared" si="30"/>
        <v/>
      </c>
      <c r="C61" s="470">
        <f>IF(D11="","-",+C60+1)</f>
        <v>2054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5"/>
        <v>0</v>
      </c>
      <c r="G61" s="484">
        <f t="shared" si="23"/>
        <v>0</v>
      </c>
      <c r="H61" s="453">
        <f t="shared" si="24"/>
        <v>0</v>
      </c>
      <c r="I61" s="473">
        <f t="shared" si="26"/>
        <v>0</v>
      </c>
      <c r="J61" s="473"/>
      <c r="K61" s="485"/>
      <c r="L61" s="476">
        <f t="shared" si="27"/>
        <v>0</v>
      </c>
      <c r="M61" s="485"/>
      <c r="N61" s="476">
        <f t="shared" si="28"/>
        <v>0</v>
      </c>
      <c r="O61" s="476">
        <f t="shared" si="29"/>
        <v>0</v>
      </c>
      <c r="P61" s="241"/>
    </row>
    <row r="62" spans="2:16" ht="12.5">
      <c r="B62" s="160" t="str">
        <f t="shared" si="30"/>
        <v/>
      </c>
      <c r="C62" s="470">
        <f>IF(D11="","-",+C61+1)</f>
        <v>2055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5"/>
        <v>0</v>
      </c>
      <c r="G62" s="484">
        <f t="shared" si="23"/>
        <v>0</v>
      </c>
      <c r="H62" s="453">
        <f t="shared" si="24"/>
        <v>0</v>
      </c>
      <c r="I62" s="473">
        <f t="shared" si="26"/>
        <v>0</v>
      </c>
      <c r="J62" s="473"/>
      <c r="K62" s="485"/>
      <c r="L62" s="476">
        <f t="shared" si="27"/>
        <v>0</v>
      </c>
      <c r="M62" s="485"/>
      <c r="N62" s="476">
        <f t="shared" si="28"/>
        <v>0</v>
      </c>
      <c r="O62" s="476">
        <f t="shared" si="29"/>
        <v>0</v>
      </c>
      <c r="P62" s="241"/>
    </row>
    <row r="63" spans="2:16" ht="12.5">
      <c r="B63" s="160" t="str">
        <f t="shared" si="30"/>
        <v/>
      </c>
      <c r="C63" s="470">
        <f>IF(D11="","-",+C62+1)</f>
        <v>2056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5"/>
        <v>0</v>
      </c>
      <c r="G63" s="484">
        <f t="shared" si="23"/>
        <v>0</v>
      </c>
      <c r="H63" s="453">
        <f t="shared" si="24"/>
        <v>0</v>
      </c>
      <c r="I63" s="473">
        <f t="shared" si="26"/>
        <v>0</v>
      </c>
      <c r="J63" s="473"/>
      <c r="K63" s="485"/>
      <c r="L63" s="476">
        <f t="shared" si="27"/>
        <v>0</v>
      </c>
      <c r="M63" s="485"/>
      <c r="N63" s="476">
        <f t="shared" si="28"/>
        <v>0</v>
      </c>
      <c r="O63" s="476">
        <f t="shared" si="29"/>
        <v>0</v>
      </c>
      <c r="P63" s="241"/>
    </row>
    <row r="64" spans="2:16" ht="12.5">
      <c r="B64" s="160" t="str">
        <f t="shared" si="30"/>
        <v/>
      </c>
      <c r="C64" s="470">
        <f>IF(D11="","-",+C63+1)</f>
        <v>2057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5"/>
        <v>0</v>
      </c>
      <c r="G64" s="484">
        <f t="shared" si="23"/>
        <v>0</v>
      </c>
      <c r="H64" s="453">
        <f t="shared" si="24"/>
        <v>0</v>
      </c>
      <c r="I64" s="473">
        <f t="shared" si="26"/>
        <v>0</v>
      </c>
      <c r="J64" s="473"/>
      <c r="K64" s="485"/>
      <c r="L64" s="476">
        <f t="shared" si="27"/>
        <v>0</v>
      </c>
      <c r="M64" s="485"/>
      <c r="N64" s="476">
        <f t="shared" si="28"/>
        <v>0</v>
      </c>
      <c r="O64" s="476">
        <f t="shared" si="29"/>
        <v>0</v>
      </c>
      <c r="P64" s="241"/>
    </row>
    <row r="65" spans="2:16" ht="12.5">
      <c r="B65" s="160" t="str">
        <f t="shared" si="30"/>
        <v/>
      </c>
      <c r="C65" s="470">
        <f>IF(D11="","-",+C64+1)</f>
        <v>2058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5"/>
        <v>0</v>
      </c>
      <c r="G65" s="484">
        <f t="shared" si="23"/>
        <v>0</v>
      </c>
      <c r="H65" s="453">
        <f t="shared" si="24"/>
        <v>0</v>
      </c>
      <c r="I65" s="473">
        <f t="shared" si="26"/>
        <v>0</v>
      </c>
      <c r="J65" s="473"/>
      <c r="K65" s="485"/>
      <c r="L65" s="476">
        <f t="shared" si="27"/>
        <v>0</v>
      </c>
      <c r="M65" s="485"/>
      <c r="N65" s="476">
        <f t="shared" si="28"/>
        <v>0</v>
      </c>
      <c r="O65" s="476">
        <f t="shared" si="29"/>
        <v>0</v>
      </c>
      <c r="P65" s="241"/>
    </row>
    <row r="66" spans="2:16" ht="12.5">
      <c r="B66" s="160" t="str">
        <f t="shared" si="30"/>
        <v/>
      </c>
      <c r="C66" s="470">
        <f>IF(D11="","-",+C65+1)</f>
        <v>2059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5"/>
        <v>0</v>
      </c>
      <c r="G66" s="484">
        <f t="shared" si="23"/>
        <v>0</v>
      </c>
      <c r="H66" s="453">
        <f t="shared" si="24"/>
        <v>0</v>
      </c>
      <c r="I66" s="473">
        <f t="shared" si="26"/>
        <v>0</v>
      </c>
      <c r="J66" s="473"/>
      <c r="K66" s="485"/>
      <c r="L66" s="476">
        <f t="shared" si="27"/>
        <v>0</v>
      </c>
      <c r="M66" s="485"/>
      <c r="N66" s="476">
        <f t="shared" si="28"/>
        <v>0</v>
      </c>
      <c r="O66" s="476">
        <f t="shared" si="29"/>
        <v>0</v>
      </c>
      <c r="P66" s="241"/>
    </row>
    <row r="67" spans="2:16" ht="12.5">
      <c r="B67" s="160" t="str">
        <f t="shared" si="30"/>
        <v/>
      </c>
      <c r="C67" s="470">
        <f>IF(D11="","-",+C66+1)</f>
        <v>2060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5"/>
        <v>0</v>
      </c>
      <c r="G67" s="484">
        <f t="shared" si="23"/>
        <v>0</v>
      </c>
      <c r="H67" s="453">
        <f t="shared" si="24"/>
        <v>0</v>
      </c>
      <c r="I67" s="473">
        <f t="shared" si="26"/>
        <v>0</v>
      </c>
      <c r="J67" s="473"/>
      <c r="K67" s="485"/>
      <c r="L67" s="476">
        <f t="shared" si="27"/>
        <v>0</v>
      </c>
      <c r="M67" s="485"/>
      <c r="N67" s="476">
        <f t="shared" si="28"/>
        <v>0</v>
      </c>
      <c r="O67" s="476">
        <f t="shared" si="29"/>
        <v>0</v>
      </c>
      <c r="P67" s="241"/>
    </row>
    <row r="68" spans="2:16" ht="12.5">
      <c r="B68" s="160" t="str">
        <f t="shared" si="30"/>
        <v/>
      </c>
      <c r="C68" s="470">
        <f>IF(D11="","-",+C67+1)</f>
        <v>2061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5"/>
        <v>0</v>
      </c>
      <c r="G68" s="484">
        <f t="shared" si="23"/>
        <v>0</v>
      </c>
      <c r="H68" s="453">
        <f t="shared" si="24"/>
        <v>0</v>
      </c>
      <c r="I68" s="473">
        <f t="shared" si="26"/>
        <v>0</v>
      </c>
      <c r="J68" s="473"/>
      <c r="K68" s="485"/>
      <c r="L68" s="476">
        <f t="shared" si="27"/>
        <v>0</v>
      </c>
      <c r="M68" s="485"/>
      <c r="N68" s="476">
        <f t="shared" si="28"/>
        <v>0</v>
      </c>
      <c r="O68" s="476">
        <f t="shared" si="29"/>
        <v>0</v>
      </c>
      <c r="P68" s="241"/>
    </row>
    <row r="69" spans="2:16" ht="12.5">
      <c r="B69" s="160" t="str">
        <f t="shared" si="30"/>
        <v/>
      </c>
      <c r="C69" s="470">
        <f>IF(D11="","-",+C68+1)</f>
        <v>2062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5"/>
        <v>0</v>
      </c>
      <c r="G69" s="484">
        <f t="shared" si="23"/>
        <v>0</v>
      </c>
      <c r="H69" s="453">
        <f t="shared" si="24"/>
        <v>0</v>
      </c>
      <c r="I69" s="473">
        <f t="shared" si="26"/>
        <v>0</v>
      </c>
      <c r="J69" s="473"/>
      <c r="K69" s="485"/>
      <c r="L69" s="476">
        <f t="shared" si="27"/>
        <v>0</v>
      </c>
      <c r="M69" s="485"/>
      <c r="N69" s="476">
        <f t="shared" si="28"/>
        <v>0</v>
      </c>
      <c r="O69" s="476">
        <f t="shared" si="29"/>
        <v>0</v>
      </c>
      <c r="P69" s="241"/>
    </row>
    <row r="70" spans="2:16" ht="12.5">
      <c r="B70" s="160" t="str">
        <f t="shared" si="30"/>
        <v/>
      </c>
      <c r="C70" s="470">
        <f>IF(D11="","-",+C69+1)</f>
        <v>2063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5"/>
        <v>0</v>
      </c>
      <c r="G70" s="484">
        <f t="shared" si="23"/>
        <v>0</v>
      </c>
      <c r="H70" s="453">
        <f t="shared" si="24"/>
        <v>0</v>
      </c>
      <c r="I70" s="473">
        <f t="shared" si="26"/>
        <v>0</v>
      </c>
      <c r="J70" s="473"/>
      <c r="K70" s="485"/>
      <c r="L70" s="476">
        <f t="shared" si="27"/>
        <v>0</v>
      </c>
      <c r="M70" s="485"/>
      <c r="N70" s="476">
        <f t="shared" si="28"/>
        <v>0</v>
      </c>
      <c r="O70" s="476">
        <f t="shared" si="29"/>
        <v>0</v>
      </c>
      <c r="P70" s="241"/>
    </row>
    <row r="71" spans="2:16" ht="12.5">
      <c r="B71" s="160" t="str">
        <f t="shared" si="30"/>
        <v/>
      </c>
      <c r="C71" s="470">
        <f>IF(D11="","-",+C70+1)</f>
        <v>2064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5"/>
        <v>0</v>
      </c>
      <c r="G71" s="484">
        <f t="shared" si="23"/>
        <v>0</v>
      </c>
      <c r="H71" s="453">
        <f t="shared" si="24"/>
        <v>0</v>
      </c>
      <c r="I71" s="473">
        <f t="shared" si="26"/>
        <v>0</v>
      </c>
      <c r="J71" s="473"/>
      <c r="K71" s="485"/>
      <c r="L71" s="476">
        <f t="shared" si="27"/>
        <v>0</v>
      </c>
      <c r="M71" s="485"/>
      <c r="N71" s="476">
        <f t="shared" si="28"/>
        <v>0</v>
      </c>
      <c r="O71" s="476">
        <f t="shared" si="29"/>
        <v>0</v>
      </c>
      <c r="P71" s="241"/>
    </row>
    <row r="72" spans="2:16" ht="13" thickBot="1">
      <c r="B72" s="160" t="str">
        <f t="shared" si="30"/>
        <v/>
      </c>
      <c r="C72" s="487">
        <f>IF(D11="","-",+C71+1)</f>
        <v>2065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5"/>
        <v>0</v>
      </c>
      <c r="G72" s="488">
        <f t="shared" si="23"/>
        <v>0</v>
      </c>
      <c r="H72" s="488">
        <f t="shared" si="24"/>
        <v>0</v>
      </c>
      <c r="I72" s="491">
        <f t="shared" si="26"/>
        <v>0</v>
      </c>
      <c r="J72" s="473"/>
      <c r="K72" s="492"/>
      <c r="L72" s="493">
        <f t="shared" si="27"/>
        <v>0</v>
      </c>
      <c r="M72" s="492"/>
      <c r="N72" s="493">
        <f t="shared" si="28"/>
        <v>0</v>
      </c>
      <c r="O72" s="493">
        <f t="shared" si="29"/>
        <v>0</v>
      </c>
      <c r="P72" s="241"/>
    </row>
    <row r="73" spans="2:16" ht="12.5">
      <c r="C73" s="345" t="s">
        <v>77</v>
      </c>
      <c r="D73" s="346"/>
      <c r="E73" s="346">
        <f>SUM(E17:E72)</f>
        <v>22096.999999999989</v>
      </c>
      <c r="F73" s="346"/>
      <c r="G73" s="346">
        <f>SUM(G17:G72)</f>
        <v>80034.298338474095</v>
      </c>
      <c r="H73" s="346">
        <f>SUM(H17:H72)</f>
        <v>80034.298338474095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13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2539.5897435897436</v>
      </c>
      <c r="N87" s="506">
        <f>IF(J92&lt;D11,0,VLOOKUP(J92,C17:O72,11))</f>
        <v>2539.5897435897436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2484.7371362712865</v>
      </c>
      <c r="N88" s="510">
        <f>IF(J92&lt;D11,0,VLOOKUP(J92,C99:P154,7))</f>
        <v>2484.7371362712865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CoffeyvilleT to Dearing 138 kv Rebuild - 1.1 mi*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-54.852607318457103</v>
      </c>
      <c r="N89" s="515">
        <f>+N88-N87</f>
        <v>-54.852607318457103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TP2008013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22097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2010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582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588">
        <f>D93</f>
        <v>2010</v>
      </c>
      <c r="D99" s="589">
        <v>0</v>
      </c>
      <c r="E99" s="590">
        <v>0</v>
      </c>
      <c r="F99" s="590">
        <v>0</v>
      </c>
      <c r="G99" s="590">
        <v>0</v>
      </c>
      <c r="H99" s="591">
        <v>0</v>
      </c>
      <c r="I99" s="590">
        <v>0</v>
      </c>
      <c r="J99" s="592">
        <v>0</v>
      </c>
      <c r="K99" s="476"/>
      <c r="L99" s="565">
        <f t="shared" ref="L99:L104" si="31">H99</f>
        <v>0</v>
      </c>
      <c r="M99" s="566">
        <f t="shared" ref="M99:M104" si="32">IF(L99&lt;&gt;0,+H99-L99,0)</f>
        <v>0</v>
      </c>
      <c r="N99" s="565">
        <f t="shared" ref="N99:N104" si="33">I99</f>
        <v>0</v>
      </c>
      <c r="O99" s="475">
        <f t="shared" ref="O99:O104" si="34">IF(N99&lt;&gt;0,+I99-N99,0)</f>
        <v>0</v>
      </c>
      <c r="P99" s="475">
        <f t="shared" ref="P99:P104" si="35">+O99-M99</f>
        <v>0</v>
      </c>
    </row>
    <row r="100" spans="1:16" ht="12.5">
      <c r="C100" s="470">
        <f>IF(D91="","-",+C99+1)</f>
        <v>2011</v>
      </c>
      <c r="D100" s="593">
        <v>0</v>
      </c>
      <c r="E100" s="594">
        <v>0</v>
      </c>
      <c r="F100" s="594">
        <v>0</v>
      </c>
      <c r="G100" s="594">
        <v>0</v>
      </c>
      <c r="H100" s="595">
        <v>0</v>
      </c>
      <c r="I100" s="594">
        <v>0</v>
      </c>
      <c r="J100" s="596">
        <v>0</v>
      </c>
      <c r="K100" s="476"/>
      <c r="L100" s="538">
        <f t="shared" si="31"/>
        <v>0</v>
      </c>
      <c r="M100" s="539">
        <f t="shared" si="32"/>
        <v>0</v>
      </c>
      <c r="N100" s="538">
        <f t="shared" si="33"/>
        <v>0</v>
      </c>
      <c r="O100" s="476">
        <f t="shared" si="34"/>
        <v>0</v>
      </c>
      <c r="P100" s="476">
        <f t="shared" si="35"/>
        <v>0</v>
      </c>
    </row>
    <row r="101" spans="1:16" ht="12.5">
      <c r="C101" s="470">
        <f>IF(D92="","-",+C100+1)</f>
        <v>2012</v>
      </c>
      <c r="D101" s="576">
        <v>22097</v>
      </c>
      <c r="E101" s="577">
        <v>212.5</v>
      </c>
      <c r="F101" s="578">
        <v>21884.5</v>
      </c>
      <c r="G101" s="578">
        <v>21990.75</v>
      </c>
      <c r="H101" s="580">
        <v>3375.9899363381005</v>
      </c>
      <c r="I101" s="581">
        <v>3375.9899363381005</v>
      </c>
      <c r="J101" s="476">
        <v>0</v>
      </c>
      <c r="K101" s="476"/>
      <c r="L101" s="538">
        <f t="shared" si="31"/>
        <v>3375.9899363381005</v>
      </c>
      <c r="M101" s="539">
        <f t="shared" si="32"/>
        <v>0</v>
      </c>
      <c r="N101" s="538">
        <f t="shared" si="33"/>
        <v>3375.9899363381005</v>
      </c>
      <c r="O101" s="476">
        <f t="shared" si="34"/>
        <v>0</v>
      </c>
      <c r="P101" s="476">
        <f t="shared" si="35"/>
        <v>0</v>
      </c>
    </row>
    <row r="102" spans="1:16" ht="12.5">
      <c r="B102" s="160" t="str">
        <f t="shared" ref="B102:B133" si="36">IF(D102=F101,"","IU")</f>
        <v/>
      </c>
      <c r="C102" s="470">
        <f>IF(D93="","-",+C101+1)</f>
        <v>2013</v>
      </c>
      <c r="D102" s="576">
        <v>21884.5</v>
      </c>
      <c r="E102" s="577">
        <v>425</v>
      </c>
      <c r="F102" s="578">
        <v>21459.5</v>
      </c>
      <c r="G102" s="578">
        <v>21672</v>
      </c>
      <c r="H102" s="580">
        <v>3544.458879858515</v>
      </c>
      <c r="I102" s="581">
        <v>3544.458879858515</v>
      </c>
      <c r="J102" s="476">
        <v>0</v>
      </c>
      <c r="K102" s="476"/>
      <c r="L102" s="538">
        <f t="shared" si="31"/>
        <v>3544.458879858515</v>
      </c>
      <c r="M102" s="539">
        <f t="shared" si="32"/>
        <v>0</v>
      </c>
      <c r="N102" s="538">
        <f t="shared" si="33"/>
        <v>3544.458879858515</v>
      </c>
      <c r="O102" s="476">
        <f t="shared" si="34"/>
        <v>0</v>
      </c>
      <c r="P102" s="476">
        <f t="shared" si="35"/>
        <v>0</v>
      </c>
    </row>
    <row r="103" spans="1:16" ht="12.5">
      <c r="B103" s="160" t="str">
        <f t="shared" si="36"/>
        <v/>
      </c>
      <c r="C103" s="470">
        <f>IF(D93="","-",+C102+1)</f>
        <v>2014</v>
      </c>
      <c r="D103" s="576">
        <v>21459.5</v>
      </c>
      <c r="E103" s="577">
        <v>425</v>
      </c>
      <c r="F103" s="578">
        <v>21034.5</v>
      </c>
      <c r="G103" s="578">
        <v>21247</v>
      </c>
      <c r="H103" s="580">
        <v>3412.2413474199548</v>
      </c>
      <c r="I103" s="581">
        <v>3412.2413474199548</v>
      </c>
      <c r="J103" s="476">
        <v>0</v>
      </c>
      <c r="K103" s="476"/>
      <c r="L103" s="538">
        <f t="shared" si="31"/>
        <v>3412.2413474199548</v>
      </c>
      <c r="M103" s="539">
        <f t="shared" si="32"/>
        <v>0</v>
      </c>
      <c r="N103" s="538">
        <f t="shared" si="33"/>
        <v>3412.2413474199548</v>
      </c>
      <c r="O103" s="476">
        <f t="shared" si="34"/>
        <v>0</v>
      </c>
      <c r="P103" s="476">
        <f t="shared" si="35"/>
        <v>0</v>
      </c>
    </row>
    <row r="104" spans="1:16" ht="12.5">
      <c r="B104" s="160" t="str">
        <f t="shared" si="36"/>
        <v/>
      </c>
      <c r="C104" s="470">
        <f>IF(D93="","-",+C103+1)</f>
        <v>2015</v>
      </c>
      <c r="D104" s="576">
        <v>21034.5</v>
      </c>
      <c r="E104" s="577">
        <v>425</v>
      </c>
      <c r="F104" s="578">
        <v>20609.5</v>
      </c>
      <c r="G104" s="578">
        <v>20822</v>
      </c>
      <c r="H104" s="580">
        <v>3265.9944828697971</v>
      </c>
      <c r="I104" s="581">
        <v>3265.9944828697971</v>
      </c>
      <c r="J104" s="476">
        <f t="shared" ref="J104:J132" si="37">+I104-H104</f>
        <v>0</v>
      </c>
      <c r="K104" s="476"/>
      <c r="L104" s="538">
        <f t="shared" si="31"/>
        <v>3265.9944828697971</v>
      </c>
      <c r="M104" s="539">
        <f t="shared" si="32"/>
        <v>0</v>
      </c>
      <c r="N104" s="538">
        <f t="shared" si="33"/>
        <v>3265.9944828697971</v>
      </c>
      <c r="O104" s="476">
        <f t="shared" si="34"/>
        <v>0</v>
      </c>
      <c r="P104" s="476">
        <f t="shared" si="35"/>
        <v>0</v>
      </c>
    </row>
    <row r="105" spans="1:16" ht="12.5">
      <c r="B105" s="160" t="str">
        <f t="shared" si="36"/>
        <v/>
      </c>
      <c r="C105" s="470">
        <f>IF(D93="","-",+C104+1)</f>
        <v>2016</v>
      </c>
      <c r="D105" s="576">
        <v>20609.5</v>
      </c>
      <c r="E105" s="577">
        <v>480</v>
      </c>
      <c r="F105" s="578">
        <v>20129.5</v>
      </c>
      <c r="G105" s="578">
        <v>20369.5</v>
      </c>
      <c r="H105" s="580">
        <v>3105.9493466960757</v>
      </c>
      <c r="I105" s="581">
        <v>3105.9493466960757</v>
      </c>
      <c r="J105" s="476">
        <f t="shared" si="37"/>
        <v>0</v>
      </c>
      <c r="K105" s="476"/>
      <c r="L105" s="538">
        <f>H105</f>
        <v>3105.9493466960757</v>
      </c>
      <c r="M105" s="539">
        <f>IF(L105&lt;&gt;0,+H105-L105,0)</f>
        <v>0</v>
      </c>
      <c r="N105" s="538">
        <f>I105</f>
        <v>3105.9493466960757</v>
      </c>
      <c r="O105" s="476">
        <f t="shared" ref="O105:O109" si="38">IF(N105&lt;&gt;0,+I105-N105,0)</f>
        <v>0</v>
      </c>
      <c r="P105" s="476">
        <f>+O105-M105</f>
        <v>0</v>
      </c>
    </row>
    <row r="106" spans="1:16" ht="12.5">
      <c r="B106" s="160" t="str">
        <f t="shared" si="36"/>
        <v/>
      </c>
      <c r="C106" s="470">
        <f>IF(D93="","-",+C105+1)</f>
        <v>2017</v>
      </c>
      <c r="D106" s="576">
        <v>20129.5</v>
      </c>
      <c r="E106" s="577">
        <v>480</v>
      </c>
      <c r="F106" s="578">
        <v>19649.5</v>
      </c>
      <c r="G106" s="578">
        <v>19889.5</v>
      </c>
      <c r="H106" s="580">
        <v>3003.0332263920673</v>
      </c>
      <c r="I106" s="581">
        <v>3003.0332263920673</v>
      </c>
      <c r="J106" s="476">
        <f t="shared" si="37"/>
        <v>0</v>
      </c>
      <c r="K106" s="476"/>
      <c r="L106" s="538">
        <f>H106</f>
        <v>3003.0332263920673</v>
      </c>
      <c r="M106" s="539">
        <f>IF(L106&lt;&gt;0,+H106-L106,0)</f>
        <v>0</v>
      </c>
      <c r="N106" s="538">
        <f>I106</f>
        <v>3003.0332263920673</v>
      </c>
      <c r="O106" s="476">
        <f t="shared" si="38"/>
        <v>0</v>
      </c>
      <c r="P106" s="476">
        <f>+O106-M106</f>
        <v>0</v>
      </c>
    </row>
    <row r="107" spans="1:16" ht="12.5">
      <c r="B107" s="160" t="str">
        <f t="shared" si="36"/>
        <v/>
      </c>
      <c r="C107" s="470">
        <f>IF(D93="","-",+C106+1)</f>
        <v>2018</v>
      </c>
      <c r="D107" s="576">
        <v>19649.5</v>
      </c>
      <c r="E107" s="577">
        <v>514</v>
      </c>
      <c r="F107" s="578">
        <v>19135.5</v>
      </c>
      <c r="G107" s="578">
        <v>19392.5</v>
      </c>
      <c r="H107" s="580">
        <v>2506.299479691007</v>
      </c>
      <c r="I107" s="581">
        <v>2506.299479691007</v>
      </c>
      <c r="J107" s="476">
        <f t="shared" si="37"/>
        <v>0</v>
      </c>
      <c r="K107" s="476"/>
      <c r="L107" s="538">
        <f>H107</f>
        <v>2506.299479691007</v>
      </c>
      <c r="M107" s="539">
        <f>IF(L107&lt;&gt;0,+H107-L107,0)</f>
        <v>0</v>
      </c>
      <c r="N107" s="538">
        <f>I107</f>
        <v>2506.299479691007</v>
      </c>
      <c r="O107" s="476">
        <f t="shared" si="38"/>
        <v>0</v>
      </c>
      <c r="P107" s="476">
        <f>+O107-M107</f>
        <v>0</v>
      </c>
    </row>
    <row r="108" spans="1:16" ht="12.5">
      <c r="B108" s="160" t="str">
        <f t="shared" si="36"/>
        <v/>
      </c>
      <c r="C108" s="470">
        <f>IF(D93="","-",+C107+1)</f>
        <v>2019</v>
      </c>
      <c r="D108" s="576">
        <v>19135.5</v>
      </c>
      <c r="E108" s="577">
        <v>539</v>
      </c>
      <c r="F108" s="578">
        <v>18596.5</v>
      </c>
      <c r="G108" s="578">
        <v>18866</v>
      </c>
      <c r="H108" s="580">
        <v>2484.3492160371716</v>
      </c>
      <c r="I108" s="581">
        <v>2484.3492160371716</v>
      </c>
      <c r="J108" s="476">
        <f t="shared" si="37"/>
        <v>0</v>
      </c>
      <c r="K108" s="476"/>
      <c r="L108" s="538">
        <f>H108</f>
        <v>2484.3492160371716</v>
      </c>
      <c r="M108" s="539">
        <f>IF(L108&lt;&gt;0,+H108-L108,0)</f>
        <v>0</v>
      </c>
      <c r="N108" s="538">
        <f>I108</f>
        <v>2484.3492160371716</v>
      </c>
      <c r="O108" s="476">
        <f t="shared" si="38"/>
        <v>0</v>
      </c>
      <c r="P108" s="476">
        <f t="shared" ref="P108:P130" si="39">+O108-M108</f>
        <v>0</v>
      </c>
    </row>
    <row r="109" spans="1:16" ht="12.5">
      <c r="B109" s="160" t="str">
        <f t="shared" si="36"/>
        <v/>
      </c>
      <c r="C109" s="470">
        <f>IF(D93="","-",+C108+1)</f>
        <v>2020</v>
      </c>
      <c r="D109" s="576">
        <v>18596.5</v>
      </c>
      <c r="E109" s="577">
        <v>514</v>
      </c>
      <c r="F109" s="578">
        <v>18082.5</v>
      </c>
      <c r="G109" s="578">
        <v>18339.5</v>
      </c>
      <c r="H109" s="580">
        <v>2628.4939297021565</v>
      </c>
      <c r="I109" s="581">
        <v>2628.4939297021565</v>
      </c>
      <c r="J109" s="476">
        <f t="shared" si="37"/>
        <v>0</v>
      </c>
      <c r="K109" s="476"/>
      <c r="L109" s="538">
        <f>H109</f>
        <v>2628.4939297021565</v>
      </c>
      <c r="M109" s="539">
        <f>IF(L109&lt;&gt;0,+H109-L109,0)</f>
        <v>0</v>
      </c>
      <c r="N109" s="538">
        <f>I109</f>
        <v>2628.4939297021565</v>
      </c>
      <c r="O109" s="476">
        <f t="shared" si="38"/>
        <v>0</v>
      </c>
      <c r="P109" s="476">
        <f t="shared" si="39"/>
        <v>0</v>
      </c>
    </row>
    <row r="110" spans="1:16" ht="12.5">
      <c r="B110" s="160" t="str">
        <f t="shared" si="36"/>
        <v/>
      </c>
      <c r="C110" s="470">
        <f>IF(D93="","-",+C109+1)</f>
        <v>2021</v>
      </c>
      <c r="D110" s="576">
        <v>18082.5</v>
      </c>
      <c r="E110" s="577">
        <v>567</v>
      </c>
      <c r="F110" s="578">
        <v>17515.5</v>
      </c>
      <c r="G110" s="578">
        <v>17799</v>
      </c>
      <c r="H110" s="580">
        <v>2528.1410385336903</v>
      </c>
      <c r="I110" s="581">
        <v>2528.1410385336903</v>
      </c>
      <c r="J110" s="476">
        <f t="shared" si="37"/>
        <v>0</v>
      </c>
      <c r="K110" s="476"/>
      <c r="L110" s="538">
        <f t="shared" ref="L110:L111" si="40">H110</f>
        <v>2528.1410385336903</v>
      </c>
      <c r="M110" s="539">
        <f t="shared" ref="M110:M111" si="41">IF(L110&lt;&gt;0,+H110-L110,0)</f>
        <v>0</v>
      </c>
      <c r="N110" s="538">
        <f t="shared" ref="N110:N111" si="42">I110</f>
        <v>2528.1410385336903</v>
      </c>
      <c r="O110" s="476">
        <f t="shared" ref="O110:O111" si="43">IF(N110&lt;&gt;0,+I110-N110,0)</f>
        <v>0</v>
      </c>
      <c r="P110" s="476">
        <f t="shared" ref="P110:P111" si="44">+O110-M110</f>
        <v>0</v>
      </c>
    </row>
    <row r="111" spans="1:16" ht="12.5">
      <c r="B111" s="160" t="str">
        <f t="shared" si="36"/>
        <v/>
      </c>
      <c r="C111" s="470">
        <f>IF(D93="","-",+C110+1)</f>
        <v>2022</v>
      </c>
      <c r="D111" s="576">
        <v>17515.5</v>
      </c>
      <c r="E111" s="577">
        <v>567</v>
      </c>
      <c r="F111" s="578">
        <v>16948.5</v>
      </c>
      <c r="G111" s="578">
        <v>17232</v>
      </c>
      <c r="H111" s="580">
        <v>2465.6674743531971</v>
      </c>
      <c r="I111" s="581">
        <v>2465.6674743531971</v>
      </c>
      <c r="J111" s="476">
        <f t="shared" si="37"/>
        <v>0</v>
      </c>
      <c r="K111" s="476"/>
      <c r="L111" s="538">
        <f t="shared" si="40"/>
        <v>2465.6674743531971</v>
      </c>
      <c r="M111" s="539">
        <f t="shared" si="41"/>
        <v>0</v>
      </c>
      <c r="N111" s="538">
        <f t="shared" si="42"/>
        <v>2465.6674743531971</v>
      </c>
      <c r="O111" s="476">
        <f t="shared" si="43"/>
        <v>0</v>
      </c>
      <c r="P111" s="476">
        <f t="shared" si="44"/>
        <v>0</v>
      </c>
    </row>
    <row r="112" spans="1:16" ht="12.5">
      <c r="B112" s="160" t="str">
        <f t="shared" si="36"/>
        <v/>
      </c>
      <c r="C112" s="470">
        <f>IF(D93="","-",+C111+1)</f>
        <v>2023</v>
      </c>
      <c r="D112" s="345">
        <f>IF(F111+SUM(E$101:E111)=D$92,F111,D$92-SUM(E$101:E111))</f>
        <v>16948.5</v>
      </c>
      <c r="E112" s="484">
        <f>IF(+J96&lt;F111,J96,D112)</f>
        <v>582</v>
      </c>
      <c r="F112" s="483">
        <f t="shared" ref="F112:F133" si="45">+D112-E112</f>
        <v>16366.5</v>
      </c>
      <c r="G112" s="483">
        <f t="shared" ref="G112:G132" si="46">+(F112+D112)/2</f>
        <v>16657.5</v>
      </c>
      <c r="H112" s="484">
        <f t="shared" ref="H112:H153" si="47">(D112+F112)/2*J$94+E112</f>
        <v>2484.7371362712865</v>
      </c>
      <c r="I112" s="540">
        <f t="shared" ref="I112:I153" si="48">+J$95*G112+E112</f>
        <v>2484.7371362712865</v>
      </c>
      <c r="J112" s="476">
        <f t="shared" si="37"/>
        <v>0</v>
      </c>
      <c r="K112" s="476"/>
      <c r="L112" s="485"/>
      <c r="M112" s="476">
        <f t="shared" ref="M112:M130" si="49">IF(L112&lt;&gt;0,+H114-L112,0)</f>
        <v>0</v>
      </c>
      <c r="N112" s="485"/>
      <c r="O112" s="476">
        <f t="shared" ref="O112:O154" si="50">IF(N112&lt;&gt;0,+I112-N112,0)</f>
        <v>0</v>
      </c>
      <c r="P112" s="476">
        <f t="shared" si="39"/>
        <v>0</v>
      </c>
    </row>
    <row r="113" spans="2:16" ht="12.5">
      <c r="B113" s="160" t="str">
        <f t="shared" si="36"/>
        <v/>
      </c>
      <c r="C113" s="470">
        <f>IF(D93="","-",+C112+1)</f>
        <v>2024</v>
      </c>
      <c r="D113" s="345">
        <f>IF(F112+SUM(E$101:E112)=D$92,F112,D$92-SUM(E$101:E112))</f>
        <v>16366.5</v>
      </c>
      <c r="E113" s="484">
        <f>IF(+J96&lt;F112,J96,D113)</f>
        <v>582</v>
      </c>
      <c r="F113" s="483">
        <f t="shared" si="45"/>
        <v>15784.5</v>
      </c>
      <c r="G113" s="483">
        <f t="shared" si="46"/>
        <v>16075.5</v>
      </c>
      <c r="H113" s="484">
        <f t="shared" si="47"/>
        <v>2418.2569913930101</v>
      </c>
      <c r="I113" s="540">
        <f t="shared" si="48"/>
        <v>2418.2569913930101</v>
      </c>
      <c r="J113" s="476">
        <f t="shared" si="37"/>
        <v>0</v>
      </c>
      <c r="K113" s="476"/>
      <c r="L113" s="485"/>
      <c r="M113" s="476">
        <f t="shared" si="49"/>
        <v>0</v>
      </c>
      <c r="N113" s="485"/>
      <c r="O113" s="476">
        <f t="shared" si="50"/>
        <v>0</v>
      </c>
      <c r="P113" s="476">
        <f t="shared" si="39"/>
        <v>0</v>
      </c>
    </row>
    <row r="114" spans="2:16" ht="12.5">
      <c r="B114" s="160" t="str">
        <f t="shared" si="36"/>
        <v/>
      </c>
      <c r="C114" s="470">
        <f>IF(D93="","-",+C113+1)</f>
        <v>2025</v>
      </c>
      <c r="D114" s="345">
        <f>IF(F113+SUM(E$101:E113)=D$92,F113,D$92-SUM(E$101:E113))</f>
        <v>15784.5</v>
      </c>
      <c r="E114" s="484">
        <f>IF(+J96&lt;F113,J96,D114)</f>
        <v>582</v>
      </c>
      <c r="F114" s="483">
        <f t="shared" si="45"/>
        <v>15202.5</v>
      </c>
      <c r="G114" s="483">
        <f t="shared" si="46"/>
        <v>15493.5</v>
      </c>
      <c r="H114" s="484">
        <f t="shared" si="47"/>
        <v>2351.7768465147337</v>
      </c>
      <c r="I114" s="540">
        <f t="shared" si="48"/>
        <v>2351.7768465147337</v>
      </c>
      <c r="J114" s="476">
        <f t="shared" si="37"/>
        <v>0</v>
      </c>
      <c r="K114" s="476"/>
      <c r="L114" s="485"/>
      <c r="M114" s="476">
        <f t="shared" si="49"/>
        <v>0</v>
      </c>
      <c r="N114" s="485"/>
      <c r="O114" s="476">
        <f t="shared" si="50"/>
        <v>0</v>
      </c>
      <c r="P114" s="476">
        <f t="shared" si="39"/>
        <v>0</v>
      </c>
    </row>
    <row r="115" spans="2:16" ht="12.5">
      <c r="B115" s="160" t="str">
        <f t="shared" si="36"/>
        <v/>
      </c>
      <c r="C115" s="470">
        <f>IF(D93="","-",+C114+1)</f>
        <v>2026</v>
      </c>
      <c r="D115" s="345">
        <f>IF(F114+SUM(E$101:E114)=D$92,F114,D$92-SUM(E$101:E114))</f>
        <v>15202.5</v>
      </c>
      <c r="E115" s="484">
        <f>IF(+J96&lt;F114,J96,D115)</f>
        <v>582</v>
      </c>
      <c r="F115" s="483">
        <f t="shared" si="45"/>
        <v>14620.5</v>
      </c>
      <c r="G115" s="483">
        <f t="shared" si="46"/>
        <v>14911.5</v>
      </c>
      <c r="H115" s="484">
        <f t="shared" si="47"/>
        <v>2285.2967016364573</v>
      </c>
      <c r="I115" s="540">
        <f t="shared" si="48"/>
        <v>2285.2967016364573</v>
      </c>
      <c r="J115" s="476">
        <f t="shared" si="37"/>
        <v>0</v>
      </c>
      <c r="K115" s="476"/>
      <c r="L115" s="485"/>
      <c r="M115" s="476">
        <f t="shared" si="49"/>
        <v>0</v>
      </c>
      <c r="N115" s="485"/>
      <c r="O115" s="476">
        <f t="shared" si="50"/>
        <v>0</v>
      </c>
      <c r="P115" s="476">
        <f t="shared" si="39"/>
        <v>0</v>
      </c>
    </row>
    <row r="116" spans="2:16" ht="12.5">
      <c r="B116" s="160" t="str">
        <f t="shared" si="36"/>
        <v/>
      </c>
      <c r="C116" s="470">
        <f>IF(D93="","-",+C115+1)</f>
        <v>2027</v>
      </c>
      <c r="D116" s="345">
        <f>IF(F115+SUM(E$101:E115)=D$92,F115,D$92-SUM(E$101:E115))</f>
        <v>14620.5</v>
      </c>
      <c r="E116" s="484">
        <f>IF(+J96&lt;F115,J96,D116)</f>
        <v>582</v>
      </c>
      <c r="F116" s="483">
        <f t="shared" si="45"/>
        <v>14038.5</v>
      </c>
      <c r="G116" s="483">
        <f t="shared" si="46"/>
        <v>14329.5</v>
      </c>
      <c r="H116" s="484">
        <f t="shared" si="47"/>
        <v>2218.8165567581809</v>
      </c>
      <c r="I116" s="540">
        <f t="shared" si="48"/>
        <v>2218.8165567581809</v>
      </c>
      <c r="J116" s="476">
        <f t="shared" si="37"/>
        <v>0</v>
      </c>
      <c r="K116" s="476"/>
      <c r="L116" s="485"/>
      <c r="M116" s="476">
        <f t="shared" si="49"/>
        <v>0</v>
      </c>
      <c r="N116" s="485"/>
      <c r="O116" s="476">
        <f t="shared" si="50"/>
        <v>0</v>
      </c>
      <c r="P116" s="476">
        <f t="shared" si="39"/>
        <v>0</v>
      </c>
    </row>
    <row r="117" spans="2:16" ht="12.5">
      <c r="B117" s="160" t="str">
        <f t="shared" si="36"/>
        <v/>
      </c>
      <c r="C117" s="470">
        <f>IF(D93="","-",+C116+1)</f>
        <v>2028</v>
      </c>
      <c r="D117" s="345">
        <f>IF(F116+SUM(E$101:E116)=D$92,F116,D$92-SUM(E$101:E116))</f>
        <v>14038.5</v>
      </c>
      <c r="E117" s="484">
        <f>IF(+J96&lt;F116,J96,D117)</f>
        <v>582</v>
      </c>
      <c r="F117" s="483">
        <f t="shared" si="45"/>
        <v>13456.5</v>
      </c>
      <c r="G117" s="483">
        <f t="shared" si="46"/>
        <v>13747.5</v>
      </c>
      <c r="H117" s="484">
        <f t="shared" si="47"/>
        <v>2152.3364118799045</v>
      </c>
      <c r="I117" s="540">
        <f t="shared" si="48"/>
        <v>2152.3364118799045</v>
      </c>
      <c r="J117" s="476">
        <f t="shared" si="37"/>
        <v>0</v>
      </c>
      <c r="K117" s="476"/>
      <c r="L117" s="485"/>
      <c r="M117" s="476">
        <f t="shared" si="49"/>
        <v>0</v>
      </c>
      <c r="N117" s="485"/>
      <c r="O117" s="476">
        <f t="shared" si="50"/>
        <v>0</v>
      </c>
      <c r="P117" s="476">
        <f t="shared" si="39"/>
        <v>0</v>
      </c>
    </row>
    <row r="118" spans="2:16" ht="12.5">
      <c r="B118" s="160" t="str">
        <f t="shared" si="36"/>
        <v/>
      </c>
      <c r="C118" s="470">
        <f>IF(D93="","-",+C117+1)</f>
        <v>2029</v>
      </c>
      <c r="D118" s="345">
        <f>IF(F117+SUM(E$101:E117)=D$92,F117,D$92-SUM(E$101:E117))</f>
        <v>13456.5</v>
      </c>
      <c r="E118" s="484">
        <f>IF(+J96&lt;F117,J96,D118)</f>
        <v>582</v>
      </c>
      <c r="F118" s="483">
        <f t="shared" si="45"/>
        <v>12874.5</v>
      </c>
      <c r="G118" s="483">
        <f t="shared" si="46"/>
        <v>13165.5</v>
      </c>
      <c r="H118" s="484">
        <f t="shared" si="47"/>
        <v>2085.8562670016281</v>
      </c>
      <c r="I118" s="540">
        <f t="shared" si="48"/>
        <v>2085.8562670016281</v>
      </c>
      <c r="J118" s="476">
        <f t="shared" si="37"/>
        <v>0</v>
      </c>
      <c r="K118" s="476"/>
      <c r="L118" s="485"/>
      <c r="M118" s="476">
        <f t="shared" si="49"/>
        <v>0</v>
      </c>
      <c r="N118" s="485"/>
      <c r="O118" s="476">
        <f t="shared" si="50"/>
        <v>0</v>
      </c>
      <c r="P118" s="476">
        <f t="shared" si="39"/>
        <v>0</v>
      </c>
    </row>
    <row r="119" spans="2:16" ht="12.5">
      <c r="B119" s="160" t="str">
        <f t="shared" si="36"/>
        <v/>
      </c>
      <c r="C119" s="470">
        <f>IF(D93="","-",+C118+1)</f>
        <v>2030</v>
      </c>
      <c r="D119" s="345">
        <f>IF(F118+SUM(E$101:E118)=D$92,F118,D$92-SUM(E$101:E118))</f>
        <v>12874.5</v>
      </c>
      <c r="E119" s="484">
        <f t="shared" ref="E119:E154" si="51">IF(+J$96&lt;F118,J$96,D119)</f>
        <v>582</v>
      </c>
      <c r="F119" s="483">
        <f t="shared" si="45"/>
        <v>12292.5</v>
      </c>
      <c r="G119" s="483">
        <f t="shared" si="46"/>
        <v>12583.5</v>
      </c>
      <c r="H119" s="484">
        <f t="shared" si="47"/>
        <v>2019.3761221233517</v>
      </c>
      <c r="I119" s="540">
        <f t="shared" si="48"/>
        <v>2019.3761221233517</v>
      </c>
      <c r="J119" s="476">
        <f t="shared" si="37"/>
        <v>0</v>
      </c>
      <c r="K119" s="476"/>
      <c r="L119" s="485"/>
      <c r="M119" s="476">
        <f t="shared" si="49"/>
        <v>0</v>
      </c>
      <c r="N119" s="485"/>
      <c r="O119" s="476">
        <f t="shared" si="50"/>
        <v>0</v>
      </c>
      <c r="P119" s="476">
        <f t="shared" si="39"/>
        <v>0</v>
      </c>
    </row>
    <row r="120" spans="2:16" ht="12.5">
      <c r="B120" s="160" t="str">
        <f t="shared" si="36"/>
        <v/>
      </c>
      <c r="C120" s="470">
        <f>IF(D93="","-",+C119+1)</f>
        <v>2031</v>
      </c>
      <c r="D120" s="345">
        <f>IF(F119+SUM(E$101:E119)=D$92,F119,D$92-SUM(E$101:E119))</f>
        <v>12292.5</v>
      </c>
      <c r="E120" s="484">
        <f t="shared" si="51"/>
        <v>582</v>
      </c>
      <c r="F120" s="483">
        <f t="shared" si="45"/>
        <v>11710.5</v>
      </c>
      <c r="G120" s="483">
        <f t="shared" si="46"/>
        <v>12001.5</v>
      </c>
      <c r="H120" s="484">
        <f t="shared" si="47"/>
        <v>1952.8959772450753</v>
      </c>
      <c r="I120" s="540">
        <f t="shared" si="48"/>
        <v>1952.8959772450753</v>
      </c>
      <c r="J120" s="476">
        <f t="shared" si="37"/>
        <v>0</v>
      </c>
      <c r="K120" s="476"/>
      <c r="L120" s="485"/>
      <c r="M120" s="476">
        <f t="shared" si="49"/>
        <v>0</v>
      </c>
      <c r="N120" s="485"/>
      <c r="O120" s="476">
        <f t="shared" si="50"/>
        <v>0</v>
      </c>
      <c r="P120" s="476">
        <f t="shared" si="39"/>
        <v>0</v>
      </c>
    </row>
    <row r="121" spans="2:16" ht="12.5">
      <c r="B121" s="160" t="str">
        <f t="shared" si="36"/>
        <v/>
      </c>
      <c r="C121" s="470">
        <f>IF(D93="","-",+C120+1)</f>
        <v>2032</v>
      </c>
      <c r="D121" s="345">
        <f>IF(F120+SUM(E$101:E120)=D$92,F120,D$92-SUM(E$101:E120))</f>
        <v>11710.5</v>
      </c>
      <c r="E121" s="484">
        <f t="shared" si="51"/>
        <v>582</v>
      </c>
      <c r="F121" s="483">
        <f t="shared" si="45"/>
        <v>11128.5</v>
      </c>
      <c r="G121" s="483">
        <f t="shared" si="46"/>
        <v>11419.5</v>
      </c>
      <c r="H121" s="484">
        <f t="shared" si="47"/>
        <v>1886.4158323667989</v>
      </c>
      <c r="I121" s="540">
        <f t="shared" si="48"/>
        <v>1886.4158323667989</v>
      </c>
      <c r="J121" s="476">
        <f t="shared" si="37"/>
        <v>0</v>
      </c>
      <c r="K121" s="476"/>
      <c r="L121" s="485"/>
      <c r="M121" s="476">
        <f t="shared" si="49"/>
        <v>0</v>
      </c>
      <c r="N121" s="485"/>
      <c r="O121" s="476">
        <f t="shared" si="50"/>
        <v>0</v>
      </c>
      <c r="P121" s="476">
        <f t="shared" si="39"/>
        <v>0</v>
      </c>
    </row>
    <row r="122" spans="2:16" ht="12.5">
      <c r="B122" s="160" t="str">
        <f t="shared" si="36"/>
        <v/>
      </c>
      <c r="C122" s="470">
        <f>IF(D93="","-",+C121+1)</f>
        <v>2033</v>
      </c>
      <c r="D122" s="345">
        <f>IF(F121+SUM(E$101:E121)=D$92,F121,D$92-SUM(E$101:E121))</f>
        <v>11128.5</v>
      </c>
      <c r="E122" s="484">
        <f t="shared" si="51"/>
        <v>582</v>
      </c>
      <c r="F122" s="483">
        <f t="shared" si="45"/>
        <v>10546.5</v>
      </c>
      <c r="G122" s="483">
        <f t="shared" si="46"/>
        <v>10837.5</v>
      </c>
      <c r="H122" s="484">
        <f t="shared" si="47"/>
        <v>1819.9356874885225</v>
      </c>
      <c r="I122" s="540">
        <f t="shared" si="48"/>
        <v>1819.9356874885225</v>
      </c>
      <c r="J122" s="476">
        <f t="shared" si="37"/>
        <v>0</v>
      </c>
      <c r="K122" s="476"/>
      <c r="L122" s="485"/>
      <c r="M122" s="476">
        <f t="shared" si="49"/>
        <v>0</v>
      </c>
      <c r="N122" s="485"/>
      <c r="O122" s="476">
        <f t="shared" si="50"/>
        <v>0</v>
      </c>
      <c r="P122" s="476">
        <f t="shared" si="39"/>
        <v>0</v>
      </c>
    </row>
    <row r="123" spans="2:16" ht="12.5">
      <c r="B123" s="160" t="str">
        <f t="shared" si="36"/>
        <v/>
      </c>
      <c r="C123" s="470">
        <f>IF(D93="","-",+C122+1)</f>
        <v>2034</v>
      </c>
      <c r="D123" s="345">
        <f>IF(F122+SUM(E$101:E122)=D$92,F122,D$92-SUM(E$101:E122))</f>
        <v>10546.5</v>
      </c>
      <c r="E123" s="484">
        <f t="shared" si="51"/>
        <v>582</v>
      </c>
      <c r="F123" s="483">
        <f t="shared" si="45"/>
        <v>9964.5</v>
      </c>
      <c r="G123" s="483">
        <f t="shared" si="46"/>
        <v>10255.5</v>
      </c>
      <c r="H123" s="484">
        <f t="shared" si="47"/>
        <v>1753.4555426102461</v>
      </c>
      <c r="I123" s="540">
        <f t="shared" si="48"/>
        <v>1753.4555426102461</v>
      </c>
      <c r="J123" s="476">
        <f t="shared" si="37"/>
        <v>0</v>
      </c>
      <c r="K123" s="476"/>
      <c r="L123" s="485"/>
      <c r="M123" s="476">
        <f t="shared" si="49"/>
        <v>0</v>
      </c>
      <c r="N123" s="485"/>
      <c r="O123" s="476">
        <f t="shared" si="50"/>
        <v>0</v>
      </c>
      <c r="P123" s="476">
        <f t="shared" si="39"/>
        <v>0</v>
      </c>
    </row>
    <row r="124" spans="2:16" ht="12.5">
      <c r="B124" s="160" t="str">
        <f t="shared" si="36"/>
        <v/>
      </c>
      <c r="C124" s="470">
        <f>IF(D93="","-",+C123+1)</f>
        <v>2035</v>
      </c>
      <c r="D124" s="345">
        <f>IF(F123+SUM(E$101:E123)=D$92,F123,D$92-SUM(E$101:E123))</f>
        <v>9964.5</v>
      </c>
      <c r="E124" s="484">
        <f t="shared" si="51"/>
        <v>582</v>
      </c>
      <c r="F124" s="483">
        <f t="shared" si="45"/>
        <v>9382.5</v>
      </c>
      <c r="G124" s="483">
        <f t="shared" si="46"/>
        <v>9673.5</v>
      </c>
      <c r="H124" s="484">
        <f t="shared" si="47"/>
        <v>1686.9753977319699</v>
      </c>
      <c r="I124" s="540">
        <f t="shared" si="48"/>
        <v>1686.9753977319699</v>
      </c>
      <c r="J124" s="476">
        <f t="shared" si="37"/>
        <v>0</v>
      </c>
      <c r="K124" s="476"/>
      <c r="L124" s="485"/>
      <c r="M124" s="476">
        <f t="shared" si="49"/>
        <v>0</v>
      </c>
      <c r="N124" s="485"/>
      <c r="O124" s="476">
        <f t="shared" si="50"/>
        <v>0</v>
      </c>
      <c r="P124" s="476">
        <f t="shared" si="39"/>
        <v>0</v>
      </c>
    </row>
    <row r="125" spans="2:16" ht="12.5">
      <c r="B125" s="160" t="str">
        <f t="shared" si="36"/>
        <v/>
      </c>
      <c r="C125" s="470">
        <f>IF(D93="","-",+C124+1)</f>
        <v>2036</v>
      </c>
      <c r="D125" s="345">
        <f>IF(F124+SUM(E$101:E124)=D$92,F124,D$92-SUM(E$101:E124))</f>
        <v>9382.5</v>
      </c>
      <c r="E125" s="484">
        <f t="shared" si="51"/>
        <v>582</v>
      </c>
      <c r="F125" s="483">
        <f t="shared" si="45"/>
        <v>8800.5</v>
      </c>
      <c r="G125" s="483">
        <f t="shared" si="46"/>
        <v>9091.5</v>
      </c>
      <c r="H125" s="484">
        <f t="shared" si="47"/>
        <v>1620.4952528536935</v>
      </c>
      <c r="I125" s="540">
        <f t="shared" si="48"/>
        <v>1620.4952528536935</v>
      </c>
      <c r="J125" s="476">
        <f t="shared" si="37"/>
        <v>0</v>
      </c>
      <c r="K125" s="476"/>
      <c r="L125" s="485"/>
      <c r="M125" s="476">
        <f t="shared" si="49"/>
        <v>0</v>
      </c>
      <c r="N125" s="485"/>
      <c r="O125" s="476">
        <f t="shared" si="50"/>
        <v>0</v>
      </c>
      <c r="P125" s="476">
        <f t="shared" si="39"/>
        <v>0</v>
      </c>
    </row>
    <row r="126" spans="2:16" ht="12.5">
      <c r="B126" s="160" t="str">
        <f t="shared" si="36"/>
        <v/>
      </c>
      <c r="C126" s="470">
        <f>IF(D93="","-",+C125+1)</f>
        <v>2037</v>
      </c>
      <c r="D126" s="345">
        <f>IF(F125+SUM(E$101:E125)=D$92,F125,D$92-SUM(E$101:E125))</f>
        <v>8800.5</v>
      </c>
      <c r="E126" s="484">
        <f t="shared" si="51"/>
        <v>582</v>
      </c>
      <c r="F126" s="483">
        <f t="shared" si="45"/>
        <v>8218.5</v>
      </c>
      <c r="G126" s="483">
        <f t="shared" si="46"/>
        <v>8509.5</v>
      </c>
      <c r="H126" s="484">
        <f t="shared" si="47"/>
        <v>1554.0151079754171</v>
      </c>
      <c r="I126" s="540">
        <f t="shared" si="48"/>
        <v>1554.0151079754171</v>
      </c>
      <c r="J126" s="476">
        <f t="shared" si="37"/>
        <v>0</v>
      </c>
      <c r="K126" s="476"/>
      <c r="L126" s="485"/>
      <c r="M126" s="476">
        <f t="shared" si="49"/>
        <v>0</v>
      </c>
      <c r="N126" s="485"/>
      <c r="O126" s="476">
        <f t="shared" si="50"/>
        <v>0</v>
      </c>
      <c r="P126" s="476">
        <f t="shared" si="39"/>
        <v>0</v>
      </c>
    </row>
    <row r="127" spans="2:16" ht="12.5">
      <c r="B127" s="160" t="str">
        <f t="shared" si="36"/>
        <v/>
      </c>
      <c r="C127" s="470">
        <f>IF(D93="","-",+C126+1)</f>
        <v>2038</v>
      </c>
      <c r="D127" s="345">
        <f>IF(F126+SUM(E$101:E126)=D$92,F126,D$92-SUM(E$101:E126))</f>
        <v>8218.5</v>
      </c>
      <c r="E127" s="484">
        <f t="shared" si="51"/>
        <v>582</v>
      </c>
      <c r="F127" s="483">
        <f t="shared" si="45"/>
        <v>7636.5</v>
      </c>
      <c r="G127" s="483">
        <f t="shared" si="46"/>
        <v>7927.5</v>
      </c>
      <c r="H127" s="484">
        <f t="shared" si="47"/>
        <v>1487.5349630971407</v>
      </c>
      <c r="I127" s="540">
        <f t="shared" si="48"/>
        <v>1487.5349630971407</v>
      </c>
      <c r="J127" s="476">
        <f t="shared" si="37"/>
        <v>0</v>
      </c>
      <c r="K127" s="476"/>
      <c r="L127" s="485"/>
      <c r="M127" s="476">
        <f t="shared" si="49"/>
        <v>0</v>
      </c>
      <c r="N127" s="485"/>
      <c r="O127" s="476">
        <f t="shared" si="50"/>
        <v>0</v>
      </c>
      <c r="P127" s="476">
        <f t="shared" si="39"/>
        <v>0</v>
      </c>
    </row>
    <row r="128" spans="2:16" ht="12.5">
      <c r="B128" s="160" t="str">
        <f t="shared" si="36"/>
        <v/>
      </c>
      <c r="C128" s="470">
        <f>IF(D93="","-",+C127+1)</f>
        <v>2039</v>
      </c>
      <c r="D128" s="345">
        <f>IF(F127+SUM(E$101:E127)=D$92,F127,D$92-SUM(E$101:E127))</f>
        <v>7636.5</v>
      </c>
      <c r="E128" s="484">
        <f t="shared" si="51"/>
        <v>582</v>
      </c>
      <c r="F128" s="483">
        <f t="shared" si="45"/>
        <v>7054.5</v>
      </c>
      <c r="G128" s="483">
        <f t="shared" si="46"/>
        <v>7345.5</v>
      </c>
      <c r="H128" s="484">
        <f t="shared" si="47"/>
        <v>1421.0548182188645</v>
      </c>
      <c r="I128" s="540">
        <f t="shared" si="48"/>
        <v>1421.0548182188645</v>
      </c>
      <c r="J128" s="476">
        <f t="shared" si="37"/>
        <v>0</v>
      </c>
      <c r="K128" s="476"/>
      <c r="L128" s="485"/>
      <c r="M128" s="476">
        <f t="shared" si="49"/>
        <v>0</v>
      </c>
      <c r="N128" s="485"/>
      <c r="O128" s="476">
        <f t="shared" si="50"/>
        <v>0</v>
      </c>
      <c r="P128" s="476">
        <f t="shared" si="39"/>
        <v>0</v>
      </c>
    </row>
    <row r="129" spans="2:16" ht="12.5">
      <c r="B129" s="160" t="str">
        <f t="shared" si="36"/>
        <v/>
      </c>
      <c r="C129" s="470">
        <f>IF(D93="","-",+C128+1)</f>
        <v>2040</v>
      </c>
      <c r="D129" s="345">
        <f>IF(F128+SUM(E$101:E128)=D$92,F128,D$92-SUM(E$101:E128))</f>
        <v>7054.5</v>
      </c>
      <c r="E129" s="484">
        <f t="shared" si="51"/>
        <v>582</v>
      </c>
      <c r="F129" s="483">
        <f t="shared" si="45"/>
        <v>6472.5</v>
      </c>
      <c r="G129" s="483">
        <f t="shared" si="46"/>
        <v>6763.5</v>
      </c>
      <c r="H129" s="484">
        <f t="shared" si="47"/>
        <v>1354.5746733405881</v>
      </c>
      <c r="I129" s="540">
        <f t="shared" si="48"/>
        <v>1354.5746733405881</v>
      </c>
      <c r="J129" s="476">
        <f t="shared" si="37"/>
        <v>0</v>
      </c>
      <c r="K129" s="476"/>
      <c r="L129" s="485"/>
      <c r="M129" s="476">
        <f t="shared" si="49"/>
        <v>0</v>
      </c>
      <c r="N129" s="485"/>
      <c r="O129" s="476">
        <f t="shared" si="50"/>
        <v>0</v>
      </c>
      <c r="P129" s="476">
        <f t="shared" si="39"/>
        <v>0</v>
      </c>
    </row>
    <row r="130" spans="2:16" ht="12.5">
      <c r="B130" s="160" t="str">
        <f t="shared" si="36"/>
        <v/>
      </c>
      <c r="C130" s="470">
        <f>IF(D93="","-",+C129+1)</f>
        <v>2041</v>
      </c>
      <c r="D130" s="345">
        <f>IF(F129+SUM(E$101:E129)=D$92,F129,D$92-SUM(E$101:E129))</f>
        <v>6472.5</v>
      </c>
      <c r="E130" s="484">
        <f t="shared" si="51"/>
        <v>582</v>
      </c>
      <c r="F130" s="483">
        <f t="shared" si="45"/>
        <v>5890.5</v>
      </c>
      <c r="G130" s="483">
        <f t="shared" si="46"/>
        <v>6181.5</v>
      </c>
      <c r="H130" s="484">
        <f t="shared" si="47"/>
        <v>1288.0945284623117</v>
      </c>
      <c r="I130" s="540">
        <f t="shared" si="48"/>
        <v>1288.0945284623117</v>
      </c>
      <c r="J130" s="476">
        <f t="shared" si="37"/>
        <v>0</v>
      </c>
      <c r="K130" s="476"/>
      <c r="L130" s="485"/>
      <c r="M130" s="476">
        <f t="shared" si="49"/>
        <v>0</v>
      </c>
      <c r="N130" s="485"/>
      <c r="O130" s="476">
        <f t="shared" si="50"/>
        <v>0</v>
      </c>
      <c r="P130" s="476">
        <f t="shared" si="39"/>
        <v>0</v>
      </c>
    </row>
    <row r="131" spans="2:16" ht="12.5">
      <c r="B131" s="160" t="str">
        <f t="shared" si="36"/>
        <v/>
      </c>
      <c r="C131" s="470">
        <f>IF(D93="","-",+C130+1)</f>
        <v>2042</v>
      </c>
      <c r="D131" s="345">
        <f>IF(F130+SUM(E$101:E130)=D$92,F130,D$92-SUM(E$101:E130))</f>
        <v>5890.5</v>
      </c>
      <c r="E131" s="484">
        <f t="shared" si="51"/>
        <v>582</v>
      </c>
      <c r="F131" s="483">
        <f t="shared" si="45"/>
        <v>5308.5</v>
      </c>
      <c r="G131" s="483">
        <f t="shared" si="46"/>
        <v>5599.5</v>
      </c>
      <c r="H131" s="484">
        <f t="shared" si="47"/>
        <v>1221.6143835840353</v>
      </c>
      <c r="I131" s="540">
        <f t="shared" si="48"/>
        <v>1221.6143835840353</v>
      </c>
      <c r="J131" s="476">
        <f t="shared" si="37"/>
        <v>0</v>
      </c>
      <c r="K131" s="476"/>
      <c r="L131" s="485"/>
      <c r="M131" s="476">
        <f t="shared" ref="M131:M154" si="52">IF(L541&lt;&gt;0,+H541-L541,0)</f>
        <v>0</v>
      </c>
      <c r="N131" s="485"/>
      <c r="O131" s="476">
        <f t="shared" si="50"/>
        <v>0</v>
      </c>
      <c r="P131" s="476">
        <f t="shared" ref="P131:P154" si="53">+O541-M541</f>
        <v>0</v>
      </c>
    </row>
    <row r="132" spans="2:16" ht="12.5">
      <c r="B132" s="160" t="str">
        <f t="shared" si="36"/>
        <v/>
      </c>
      <c r="C132" s="470">
        <f>IF(D93="","-",+C131+1)</f>
        <v>2043</v>
      </c>
      <c r="D132" s="345">
        <f>IF(F131+SUM(E$101:E131)=D$92,F131,D$92-SUM(E$101:E131))</f>
        <v>5308.5</v>
      </c>
      <c r="E132" s="484">
        <f t="shared" si="51"/>
        <v>582</v>
      </c>
      <c r="F132" s="483">
        <f t="shared" si="45"/>
        <v>4726.5</v>
      </c>
      <c r="G132" s="483">
        <f t="shared" si="46"/>
        <v>5017.5</v>
      </c>
      <c r="H132" s="484">
        <f t="shared" si="47"/>
        <v>1155.1342387057589</v>
      </c>
      <c r="I132" s="540">
        <f t="shared" si="48"/>
        <v>1155.1342387057589</v>
      </c>
      <c r="J132" s="476">
        <f t="shared" si="37"/>
        <v>0</v>
      </c>
      <c r="K132" s="476"/>
      <c r="L132" s="485"/>
      <c r="M132" s="476">
        <f t="shared" si="52"/>
        <v>0</v>
      </c>
      <c r="N132" s="485"/>
      <c r="O132" s="476">
        <f t="shared" si="50"/>
        <v>0</v>
      </c>
      <c r="P132" s="476">
        <f t="shared" si="53"/>
        <v>0</v>
      </c>
    </row>
    <row r="133" spans="2:16" ht="12.5">
      <c r="B133" s="160" t="str">
        <f t="shared" si="36"/>
        <v/>
      </c>
      <c r="C133" s="470">
        <f>IF(D93="","-",+C132+1)</f>
        <v>2044</v>
      </c>
      <c r="D133" s="345">
        <f>IF(F132+SUM(E$101:E132)=D$92,F132,D$92-SUM(E$101:E132))</f>
        <v>4726.5</v>
      </c>
      <c r="E133" s="484">
        <f t="shared" si="51"/>
        <v>582</v>
      </c>
      <c r="F133" s="483">
        <f t="shared" si="45"/>
        <v>4144.5</v>
      </c>
      <c r="G133" s="483">
        <f t="shared" ref="G133:G154" si="54">+(F133+D133)/2</f>
        <v>4435.5</v>
      </c>
      <c r="H133" s="484">
        <f t="shared" si="47"/>
        <v>1088.6540938274825</v>
      </c>
      <c r="I133" s="540">
        <f t="shared" si="48"/>
        <v>1088.6540938274825</v>
      </c>
      <c r="J133" s="476">
        <f t="shared" ref="J133:J154" si="55">+I541-H541</f>
        <v>0</v>
      </c>
      <c r="K133" s="476"/>
      <c r="L133" s="485"/>
      <c r="M133" s="476">
        <f t="shared" si="52"/>
        <v>0</v>
      </c>
      <c r="N133" s="485"/>
      <c r="O133" s="476">
        <f t="shared" si="50"/>
        <v>0</v>
      </c>
      <c r="P133" s="476">
        <f t="shared" si="53"/>
        <v>0</v>
      </c>
    </row>
    <row r="134" spans="2:16" ht="12.5">
      <c r="B134" s="160" t="str">
        <f t="shared" ref="B134:B154" si="56">IF(D134=F133,"","IU")</f>
        <v/>
      </c>
      <c r="C134" s="470">
        <f>IF(D93="","-",+C133+1)</f>
        <v>2045</v>
      </c>
      <c r="D134" s="345">
        <f>IF(F133+SUM(E$101:E133)=D$92,F133,D$92-SUM(E$101:E133))</f>
        <v>4144.5</v>
      </c>
      <c r="E134" s="484">
        <f t="shared" si="51"/>
        <v>582</v>
      </c>
      <c r="F134" s="483">
        <f t="shared" ref="F134:F154" si="57">+D134-E134</f>
        <v>3562.5</v>
      </c>
      <c r="G134" s="483">
        <f t="shared" si="54"/>
        <v>3853.5</v>
      </c>
      <c r="H134" s="484">
        <f t="shared" si="47"/>
        <v>1022.1739489492061</v>
      </c>
      <c r="I134" s="540">
        <f t="shared" si="48"/>
        <v>1022.1739489492061</v>
      </c>
      <c r="J134" s="476">
        <f t="shared" si="55"/>
        <v>0</v>
      </c>
      <c r="K134" s="476"/>
      <c r="L134" s="485"/>
      <c r="M134" s="476">
        <f t="shared" si="52"/>
        <v>0</v>
      </c>
      <c r="N134" s="485"/>
      <c r="O134" s="476">
        <f t="shared" si="50"/>
        <v>0</v>
      </c>
      <c r="P134" s="476">
        <f t="shared" si="53"/>
        <v>0</v>
      </c>
    </row>
    <row r="135" spans="2:16" ht="12.5">
      <c r="B135" s="160" t="str">
        <f t="shared" si="56"/>
        <v/>
      </c>
      <c r="C135" s="470">
        <f>IF(D93="","-",+C134+1)</f>
        <v>2046</v>
      </c>
      <c r="D135" s="345">
        <f>IF(F134+SUM(E$101:E134)=D$92,F134,D$92-SUM(E$101:E134))</f>
        <v>3562.5</v>
      </c>
      <c r="E135" s="484">
        <f t="shared" si="51"/>
        <v>582</v>
      </c>
      <c r="F135" s="483">
        <f t="shared" si="57"/>
        <v>2980.5</v>
      </c>
      <c r="G135" s="483">
        <f t="shared" si="54"/>
        <v>3271.5</v>
      </c>
      <c r="H135" s="484">
        <f t="shared" si="47"/>
        <v>955.69380407092979</v>
      </c>
      <c r="I135" s="540">
        <f t="shared" si="48"/>
        <v>955.69380407092979</v>
      </c>
      <c r="J135" s="476">
        <f t="shared" si="55"/>
        <v>0</v>
      </c>
      <c r="K135" s="476"/>
      <c r="L135" s="485"/>
      <c r="M135" s="476">
        <f t="shared" si="52"/>
        <v>0</v>
      </c>
      <c r="N135" s="485"/>
      <c r="O135" s="476">
        <f t="shared" si="50"/>
        <v>0</v>
      </c>
      <c r="P135" s="476">
        <f t="shared" si="53"/>
        <v>0</v>
      </c>
    </row>
    <row r="136" spans="2:16" ht="12.5">
      <c r="B136" s="160" t="str">
        <f t="shared" si="56"/>
        <v/>
      </c>
      <c r="C136" s="470">
        <f>IF(D93="","-",+C135+1)</f>
        <v>2047</v>
      </c>
      <c r="D136" s="345">
        <f>IF(F135+SUM(E$101:E135)=D$92,F135,D$92-SUM(E$101:E135))</f>
        <v>2980.5</v>
      </c>
      <c r="E136" s="484">
        <f t="shared" si="51"/>
        <v>582</v>
      </c>
      <c r="F136" s="483">
        <f t="shared" si="57"/>
        <v>2398.5</v>
      </c>
      <c r="G136" s="483">
        <f t="shared" si="54"/>
        <v>2689.5</v>
      </c>
      <c r="H136" s="484">
        <f t="shared" si="47"/>
        <v>889.21365919265349</v>
      </c>
      <c r="I136" s="540">
        <f t="shared" si="48"/>
        <v>889.21365919265349</v>
      </c>
      <c r="J136" s="476">
        <f t="shared" si="55"/>
        <v>0</v>
      </c>
      <c r="K136" s="476"/>
      <c r="L136" s="485"/>
      <c r="M136" s="476">
        <f t="shared" si="52"/>
        <v>0</v>
      </c>
      <c r="N136" s="485"/>
      <c r="O136" s="476">
        <f t="shared" si="50"/>
        <v>0</v>
      </c>
      <c r="P136" s="476">
        <f t="shared" si="53"/>
        <v>0</v>
      </c>
    </row>
    <row r="137" spans="2:16" ht="12.5">
      <c r="B137" s="160" t="str">
        <f t="shared" si="56"/>
        <v/>
      </c>
      <c r="C137" s="470">
        <f>IF(D93="","-",+C136+1)</f>
        <v>2048</v>
      </c>
      <c r="D137" s="345">
        <f>IF(F136+SUM(E$101:E136)=D$92,F136,D$92-SUM(E$101:E136))</f>
        <v>2398.5</v>
      </c>
      <c r="E137" s="484">
        <f t="shared" si="51"/>
        <v>582</v>
      </c>
      <c r="F137" s="483">
        <f t="shared" si="57"/>
        <v>1816.5</v>
      </c>
      <c r="G137" s="483">
        <f t="shared" si="54"/>
        <v>2107.5</v>
      </c>
      <c r="H137" s="484">
        <f t="shared" si="47"/>
        <v>822.73351431437709</v>
      </c>
      <c r="I137" s="540">
        <f t="shared" si="48"/>
        <v>822.73351431437709</v>
      </c>
      <c r="J137" s="476">
        <f t="shared" si="55"/>
        <v>0</v>
      </c>
      <c r="K137" s="476"/>
      <c r="L137" s="485"/>
      <c r="M137" s="476">
        <f t="shared" si="52"/>
        <v>0</v>
      </c>
      <c r="N137" s="485"/>
      <c r="O137" s="476">
        <f t="shared" si="50"/>
        <v>0</v>
      </c>
      <c r="P137" s="476">
        <f t="shared" si="53"/>
        <v>0</v>
      </c>
    </row>
    <row r="138" spans="2:16" ht="12.5">
      <c r="B138" s="160" t="str">
        <f t="shared" si="56"/>
        <v/>
      </c>
      <c r="C138" s="470">
        <f>IF(D93="","-",+C137+1)</f>
        <v>2049</v>
      </c>
      <c r="D138" s="345">
        <f>IF(F137+SUM(E$101:E137)=D$92,F137,D$92-SUM(E$101:E137))</f>
        <v>1816.5</v>
      </c>
      <c r="E138" s="484">
        <f t="shared" si="51"/>
        <v>582</v>
      </c>
      <c r="F138" s="483">
        <f t="shared" si="57"/>
        <v>1234.5</v>
      </c>
      <c r="G138" s="483">
        <f t="shared" si="54"/>
        <v>1525.5</v>
      </c>
      <c r="H138" s="484">
        <f t="shared" si="47"/>
        <v>756.25336943610068</v>
      </c>
      <c r="I138" s="540">
        <f t="shared" si="48"/>
        <v>756.25336943610068</v>
      </c>
      <c r="J138" s="476">
        <f t="shared" si="55"/>
        <v>0</v>
      </c>
      <c r="K138" s="476"/>
      <c r="L138" s="485"/>
      <c r="M138" s="476">
        <f t="shared" si="52"/>
        <v>0</v>
      </c>
      <c r="N138" s="485"/>
      <c r="O138" s="476">
        <f t="shared" si="50"/>
        <v>0</v>
      </c>
      <c r="P138" s="476">
        <f t="shared" si="53"/>
        <v>0</v>
      </c>
    </row>
    <row r="139" spans="2:16" ht="12.5">
      <c r="B139" s="160" t="str">
        <f t="shared" si="56"/>
        <v/>
      </c>
      <c r="C139" s="470">
        <f>IF(D93="","-",+C138+1)</f>
        <v>2050</v>
      </c>
      <c r="D139" s="345">
        <f>IF(F138+SUM(E$101:E138)=D$92,F138,D$92-SUM(E$101:E138))</f>
        <v>1234.5</v>
      </c>
      <c r="E139" s="484">
        <f t="shared" si="51"/>
        <v>582</v>
      </c>
      <c r="F139" s="483">
        <f t="shared" si="57"/>
        <v>652.5</v>
      </c>
      <c r="G139" s="483">
        <f t="shared" si="54"/>
        <v>943.5</v>
      </c>
      <c r="H139" s="484">
        <f t="shared" si="47"/>
        <v>689.77322455782428</v>
      </c>
      <c r="I139" s="540">
        <f t="shared" si="48"/>
        <v>689.77322455782428</v>
      </c>
      <c r="J139" s="476">
        <f t="shared" si="55"/>
        <v>0</v>
      </c>
      <c r="K139" s="476"/>
      <c r="L139" s="485"/>
      <c r="M139" s="476">
        <f t="shared" si="52"/>
        <v>0</v>
      </c>
      <c r="N139" s="485"/>
      <c r="O139" s="476">
        <f t="shared" si="50"/>
        <v>0</v>
      </c>
      <c r="P139" s="476">
        <f t="shared" si="53"/>
        <v>0</v>
      </c>
    </row>
    <row r="140" spans="2:16" ht="12.5">
      <c r="B140" s="160" t="str">
        <f t="shared" si="56"/>
        <v/>
      </c>
      <c r="C140" s="470">
        <f>IF(D93="","-",+C139+1)</f>
        <v>2051</v>
      </c>
      <c r="D140" s="345">
        <f>IF(F139+SUM(E$101:E139)=D$92,F139,D$92-SUM(E$101:E139))</f>
        <v>652.5</v>
      </c>
      <c r="E140" s="484">
        <f t="shared" si="51"/>
        <v>582</v>
      </c>
      <c r="F140" s="483">
        <f t="shared" si="57"/>
        <v>70.5</v>
      </c>
      <c r="G140" s="483">
        <f t="shared" si="54"/>
        <v>361.5</v>
      </c>
      <c r="H140" s="484">
        <f t="shared" si="47"/>
        <v>623.29307967954799</v>
      </c>
      <c r="I140" s="540">
        <f t="shared" si="48"/>
        <v>623.29307967954799</v>
      </c>
      <c r="J140" s="476">
        <f t="shared" si="55"/>
        <v>0</v>
      </c>
      <c r="K140" s="476"/>
      <c r="L140" s="485"/>
      <c r="M140" s="476">
        <f t="shared" si="52"/>
        <v>0</v>
      </c>
      <c r="N140" s="485"/>
      <c r="O140" s="476">
        <f t="shared" si="50"/>
        <v>0</v>
      </c>
      <c r="P140" s="476">
        <f t="shared" si="53"/>
        <v>0</v>
      </c>
    </row>
    <row r="141" spans="2:16" ht="12.5">
      <c r="B141" s="160" t="str">
        <f t="shared" si="56"/>
        <v/>
      </c>
      <c r="C141" s="470">
        <f>IF(D93="","-",+C140+1)</f>
        <v>2052</v>
      </c>
      <c r="D141" s="345">
        <f>IF(F140+SUM(E$101:E140)=D$92,F140,D$92-SUM(E$101:E140))</f>
        <v>70.5</v>
      </c>
      <c r="E141" s="484">
        <f t="shared" si="51"/>
        <v>70.5</v>
      </c>
      <c r="F141" s="483">
        <f t="shared" si="57"/>
        <v>0</v>
      </c>
      <c r="G141" s="483">
        <f t="shared" si="54"/>
        <v>35.25</v>
      </c>
      <c r="H141" s="484">
        <f t="shared" si="47"/>
        <v>74.526503620204878</v>
      </c>
      <c r="I141" s="540">
        <f t="shared" si="48"/>
        <v>74.526503620204878</v>
      </c>
      <c r="J141" s="476">
        <f t="shared" si="55"/>
        <v>0</v>
      </c>
      <c r="K141" s="476"/>
      <c r="L141" s="485"/>
      <c r="M141" s="476">
        <f t="shared" si="52"/>
        <v>0</v>
      </c>
      <c r="N141" s="485"/>
      <c r="O141" s="476">
        <f t="shared" si="50"/>
        <v>0</v>
      </c>
      <c r="P141" s="476">
        <f t="shared" si="53"/>
        <v>0</v>
      </c>
    </row>
    <row r="142" spans="2:16" ht="12.5">
      <c r="B142" s="160" t="str">
        <f t="shared" si="56"/>
        <v/>
      </c>
      <c r="C142" s="470">
        <f>IF(D93="","-",+C141+1)</f>
        <v>2053</v>
      </c>
      <c r="D142" s="345">
        <f>IF(F141+SUM(E$101:E141)=D$92,F141,D$92-SUM(E$101:E141))</f>
        <v>0</v>
      </c>
      <c r="E142" s="484">
        <f t="shared" si="51"/>
        <v>0</v>
      </c>
      <c r="F142" s="483">
        <f t="shared" si="57"/>
        <v>0</v>
      </c>
      <c r="G142" s="483">
        <f t="shared" si="54"/>
        <v>0</v>
      </c>
      <c r="H142" s="484">
        <f t="shared" si="47"/>
        <v>0</v>
      </c>
      <c r="I142" s="540">
        <f t="shared" si="48"/>
        <v>0</v>
      </c>
      <c r="J142" s="476">
        <f t="shared" si="55"/>
        <v>0</v>
      </c>
      <c r="K142" s="476"/>
      <c r="L142" s="485"/>
      <c r="M142" s="476">
        <f t="shared" si="52"/>
        <v>0</v>
      </c>
      <c r="N142" s="485"/>
      <c r="O142" s="476">
        <f t="shared" si="50"/>
        <v>0</v>
      </c>
      <c r="P142" s="476">
        <f t="shared" si="53"/>
        <v>0</v>
      </c>
    </row>
    <row r="143" spans="2:16" ht="12.5">
      <c r="B143" s="160" t="str">
        <f t="shared" si="56"/>
        <v/>
      </c>
      <c r="C143" s="470">
        <f>IF(D93="","-",+C142+1)</f>
        <v>2054</v>
      </c>
      <c r="D143" s="345">
        <f>IF(F142+SUM(E$101:E142)=D$92,F142,D$92-SUM(E$101:E142))</f>
        <v>0</v>
      </c>
      <c r="E143" s="484">
        <f t="shared" si="51"/>
        <v>0</v>
      </c>
      <c r="F143" s="483">
        <f t="shared" si="57"/>
        <v>0</v>
      </c>
      <c r="G143" s="483">
        <f t="shared" si="54"/>
        <v>0</v>
      </c>
      <c r="H143" s="484">
        <f t="shared" si="47"/>
        <v>0</v>
      </c>
      <c r="I143" s="540">
        <f t="shared" si="48"/>
        <v>0</v>
      </c>
      <c r="J143" s="476">
        <f t="shared" si="55"/>
        <v>0</v>
      </c>
      <c r="K143" s="476"/>
      <c r="L143" s="485"/>
      <c r="M143" s="476">
        <f t="shared" si="52"/>
        <v>0</v>
      </c>
      <c r="N143" s="485"/>
      <c r="O143" s="476">
        <f t="shared" si="50"/>
        <v>0</v>
      </c>
      <c r="P143" s="476">
        <f t="shared" si="53"/>
        <v>0</v>
      </c>
    </row>
    <row r="144" spans="2:16" ht="12.5">
      <c r="B144" s="160" t="str">
        <f t="shared" si="56"/>
        <v/>
      </c>
      <c r="C144" s="470">
        <f>IF(D93="","-",+C143+1)</f>
        <v>2055</v>
      </c>
      <c r="D144" s="345">
        <f>IF(F143+SUM(E$101:E143)=D$92,F143,D$92-SUM(E$101:E143))</f>
        <v>0</v>
      </c>
      <c r="E144" s="484">
        <f t="shared" si="51"/>
        <v>0</v>
      </c>
      <c r="F144" s="483">
        <f t="shared" si="57"/>
        <v>0</v>
      </c>
      <c r="G144" s="483">
        <f t="shared" si="54"/>
        <v>0</v>
      </c>
      <c r="H144" s="484">
        <f t="shared" si="47"/>
        <v>0</v>
      </c>
      <c r="I144" s="540">
        <f t="shared" si="48"/>
        <v>0</v>
      </c>
      <c r="J144" s="476">
        <f t="shared" si="55"/>
        <v>0</v>
      </c>
      <c r="K144" s="476"/>
      <c r="L144" s="485"/>
      <c r="M144" s="476">
        <f t="shared" si="52"/>
        <v>0</v>
      </c>
      <c r="N144" s="485"/>
      <c r="O144" s="476">
        <f t="shared" si="50"/>
        <v>0</v>
      </c>
      <c r="P144" s="476">
        <f t="shared" si="53"/>
        <v>0</v>
      </c>
    </row>
    <row r="145" spans="2:16" ht="12.5">
      <c r="B145" s="160" t="str">
        <f t="shared" si="56"/>
        <v/>
      </c>
      <c r="C145" s="470">
        <f>IF(D93="","-",+C144+1)</f>
        <v>2056</v>
      </c>
      <c r="D145" s="345">
        <f>IF(F144+SUM(E$101:E144)=D$92,F144,D$92-SUM(E$101:E144))</f>
        <v>0</v>
      </c>
      <c r="E145" s="484">
        <f t="shared" si="51"/>
        <v>0</v>
      </c>
      <c r="F145" s="483">
        <f t="shared" si="57"/>
        <v>0</v>
      </c>
      <c r="G145" s="483">
        <f t="shared" si="54"/>
        <v>0</v>
      </c>
      <c r="H145" s="484">
        <f t="shared" si="47"/>
        <v>0</v>
      </c>
      <c r="I145" s="540">
        <f t="shared" si="48"/>
        <v>0</v>
      </c>
      <c r="J145" s="476">
        <f t="shared" si="55"/>
        <v>0</v>
      </c>
      <c r="K145" s="476"/>
      <c r="L145" s="485"/>
      <c r="M145" s="476">
        <f t="shared" si="52"/>
        <v>0</v>
      </c>
      <c r="N145" s="485"/>
      <c r="O145" s="476">
        <f t="shared" si="50"/>
        <v>0</v>
      </c>
      <c r="P145" s="476">
        <f t="shared" si="53"/>
        <v>0</v>
      </c>
    </row>
    <row r="146" spans="2:16" ht="12.5">
      <c r="B146" s="160" t="str">
        <f t="shared" si="56"/>
        <v/>
      </c>
      <c r="C146" s="470">
        <f>IF(D93="","-",+C145+1)</f>
        <v>2057</v>
      </c>
      <c r="D146" s="345">
        <f>IF(F145+SUM(E$101:E145)=D$92,F145,D$92-SUM(E$101:E145))</f>
        <v>0</v>
      </c>
      <c r="E146" s="484">
        <f t="shared" si="51"/>
        <v>0</v>
      </c>
      <c r="F146" s="483">
        <f t="shared" si="57"/>
        <v>0</v>
      </c>
      <c r="G146" s="483">
        <f t="shared" si="54"/>
        <v>0</v>
      </c>
      <c r="H146" s="484">
        <f t="shared" si="47"/>
        <v>0</v>
      </c>
      <c r="I146" s="540">
        <f t="shared" si="48"/>
        <v>0</v>
      </c>
      <c r="J146" s="476">
        <f t="shared" si="55"/>
        <v>0</v>
      </c>
      <c r="K146" s="476"/>
      <c r="L146" s="485"/>
      <c r="M146" s="476">
        <f t="shared" si="52"/>
        <v>0</v>
      </c>
      <c r="N146" s="485"/>
      <c r="O146" s="476">
        <f t="shared" si="50"/>
        <v>0</v>
      </c>
      <c r="P146" s="476">
        <f t="shared" si="53"/>
        <v>0</v>
      </c>
    </row>
    <row r="147" spans="2:16" ht="12.5">
      <c r="B147" s="160" t="str">
        <f t="shared" si="56"/>
        <v/>
      </c>
      <c r="C147" s="470">
        <f>IF(D93="","-",+C146+1)</f>
        <v>2058</v>
      </c>
      <c r="D147" s="345">
        <f>IF(F146+SUM(E$101:E146)=D$92,F146,D$92-SUM(E$101:E146))</f>
        <v>0</v>
      </c>
      <c r="E147" s="484">
        <f t="shared" si="51"/>
        <v>0</v>
      </c>
      <c r="F147" s="483">
        <f t="shared" si="57"/>
        <v>0</v>
      </c>
      <c r="G147" s="483">
        <f t="shared" si="54"/>
        <v>0</v>
      </c>
      <c r="H147" s="484">
        <f t="shared" si="47"/>
        <v>0</v>
      </c>
      <c r="I147" s="540">
        <f t="shared" si="48"/>
        <v>0</v>
      </c>
      <c r="J147" s="476">
        <f t="shared" si="55"/>
        <v>0</v>
      </c>
      <c r="K147" s="476"/>
      <c r="L147" s="485"/>
      <c r="M147" s="476">
        <f t="shared" si="52"/>
        <v>0</v>
      </c>
      <c r="N147" s="485"/>
      <c r="O147" s="476">
        <f t="shared" si="50"/>
        <v>0</v>
      </c>
      <c r="P147" s="476">
        <f t="shared" si="53"/>
        <v>0</v>
      </c>
    </row>
    <row r="148" spans="2:16" ht="12.5">
      <c r="B148" s="160" t="str">
        <f t="shared" si="56"/>
        <v/>
      </c>
      <c r="C148" s="470">
        <f>IF(D93="","-",+C147+1)</f>
        <v>2059</v>
      </c>
      <c r="D148" s="345">
        <f>IF(F147+SUM(E$101:E147)=D$92,F147,D$92-SUM(E$101:E147))</f>
        <v>0</v>
      </c>
      <c r="E148" s="484">
        <f t="shared" si="51"/>
        <v>0</v>
      </c>
      <c r="F148" s="483">
        <f t="shared" si="57"/>
        <v>0</v>
      </c>
      <c r="G148" s="483">
        <f t="shared" si="54"/>
        <v>0</v>
      </c>
      <c r="H148" s="484">
        <f t="shared" si="47"/>
        <v>0</v>
      </c>
      <c r="I148" s="540">
        <f t="shared" si="48"/>
        <v>0</v>
      </c>
      <c r="J148" s="476">
        <f t="shared" si="55"/>
        <v>0</v>
      </c>
      <c r="K148" s="476"/>
      <c r="L148" s="485"/>
      <c r="M148" s="476">
        <f t="shared" si="52"/>
        <v>0</v>
      </c>
      <c r="N148" s="485"/>
      <c r="O148" s="476">
        <f t="shared" si="50"/>
        <v>0</v>
      </c>
      <c r="P148" s="476">
        <f t="shared" si="53"/>
        <v>0</v>
      </c>
    </row>
    <row r="149" spans="2:16" ht="12.5">
      <c r="B149" s="160" t="str">
        <f t="shared" si="56"/>
        <v/>
      </c>
      <c r="C149" s="470">
        <f>IF(D93="","-",+C148+1)</f>
        <v>2060</v>
      </c>
      <c r="D149" s="345">
        <f>IF(F148+SUM(E$101:E148)=D$92,F148,D$92-SUM(E$101:E148))</f>
        <v>0</v>
      </c>
      <c r="E149" s="484">
        <f t="shared" si="51"/>
        <v>0</v>
      </c>
      <c r="F149" s="483">
        <f t="shared" si="57"/>
        <v>0</v>
      </c>
      <c r="G149" s="483">
        <f t="shared" si="54"/>
        <v>0</v>
      </c>
      <c r="H149" s="484">
        <f t="shared" si="47"/>
        <v>0</v>
      </c>
      <c r="I149" s="540">
        <f t="shared" si="48"/>
        <v>0</v>
      </c>
      <c r="J149" s="476">
        <f t="shared" si="55"/>
        <v>0</v>
      </c>
      <c r="K149" s="476"/>
      <c r="L149" s="485"/>
      <c r="M149" s="476">
        <f t="shared" si="52"/>
        <v>0</v>
      </c>
      <c r="N149" s="485"/>
      <c r="O149" s="476">
        <f t="shared" si="50"/>
        <v>0</v>
      </c>
      <c r="P149" s="476">
        <f t="shared" si="53"/>
        <v>0</v>
      </c>
    </row>
    <row r="150" spans="2:16" ht="12.5">
      <c r="B150" s="160" t="str">
        <f t="shared" si="56"/>
        <v/>
      </c>
      <c r="C150" s="470">
        <f>IF(D93="","-",+C149+1)</f>
        <v>2061</v>
      </c>
      <c r="D150" s="345">
        <f>IF(F149+SUM(E$101:E149)=D$92,F149,D$92-SUM(E$101:E149))</f>
        <v>0</v>
      </c>
      <c r="E150" s="484">
        <f t="shared" si="51"/>
        <v>0</v>
      </c>
      <c r="F150" s="483">
        <f t="shared" si="57"/>
        <v>0</v>
      </c>
      <c r="G150" s="483">
        <f t="shared" si="54"/>
        <v>0</v>
      </c>
      <c r="H150" s="484">
        <f t="shared" si="47"/>
        <v>0</v>
      </c>
      <c r="I150" s="540">
        <f t="shared" si="48"/>
        <v>0</v>
      </c>
      <c r="J150" s="476">
        <f t="shared" si="55"/>
        <v>0</v>
      </c>
      <c r="K150" s="476"/>
      <c r="L150" s="485"/>
      <c r="M150" s="476">
        <f t="shared" si="52"/>
        <v>0</v>
      </c>
      <c r="N150" s="485"/>
      <c r="O150" s="476">
        <f t="shared" si="50"/>
        <v>0</v>
      </c>
      <c r="P150" s="476">
        <f t="shared" si="53"/>
        <v>0</v>
      </c>
    </row>
    <row r="151" spans="2:16" ht="12.5">
      <c r="B151" s="160" t="str">
        <f t="shared" si="56"/>
        <v/>
      </c>
      <c r="C151" s="470">
        <f>IF(D93="","-",+C150+1)</f>
        <v>2062</v>
      </c>
      <c r="D151" s="345">
        <f>IF(F150+SUM(E$101:E150)=D$92,F150,D$92-SUM(E$101:E150))</f>
        <v>0</v>
      </c>
      <c r="E151" s="484">
        <f t="shared" si="51"/>
        <v>0</v>
      </c>
      <c r="F151" s="483">
        <f t="shared" si="57"/>
        <v>0</v>
      </c>
      <c r="G151" s="483">
        <f t="shared" si="54"/>
        <v>0</v>
      </c>
      <c r="H151" s="484">
        <f t="shared" si="47"/>
        <v>0</v>
      </c>
      <c r="I151" s="540">
        <f t="shared" si="48"/>
        <v>0</v>
      </c>
      <c r="J151" s="476">
        <f t="shared" si="55"/>
        <v>0</v>
      </c>
      <c r="K151" s="476"/>
      <c r="L151" s="485"/>
      <c r="M151" s="476">
        <f t="shared" si="52"/>
        <v>0</v>
      </c>
      <c r="N151" s="485"/>
      <c r="O151" s="476">
        <f t="shared" si="50"/>
        <v>0</v>
      </c>
      <c r="P151" s="476">
        <f t="shared" si="53"/>
        <v>0</v>
      </c>
    </row>
    <row r="152" spans="2:16" ht="12.5">
      <c r="B152" s="160" t="str">
        <f t="shared" si="56"/>
        <v/>
      </c>
      <c r="C152" s="470">
        <f>IF(D93="","-",+C151+1)</f>
        <v>2063</v>
      </c>
      <c r="D152" s="345">
        <f>IF(F151+SUM(E$101:E151)=D$92,F151,D$92-SUM(E$101:E151))</f>
        <v>0</v>
      </c>
      <c r="E152" s="484">
        <f t="shared" si="51"/>
        <v>0</v>
      </c>
      <c r="F152" s="483">
        <f t="shared" si="57"/>
        <v>0</v>
      </c>
      <c r="G152" s="483">
        <f t="shared" si="54"/>
        <v>0</v>
      </c>
      <c r="H152" s="484">
        <f t="shared" si="47"/>
        <v>0</v>
      </c>
      <c r="I152" s="540">
        <f t="shared" si="48"/>
        <v>0</v>
      </c>
      <c r="J152" s="476">
        <f t="shared" si="55"/>
        <v>0</v>
      </c>
      <c r="K152" s="476"/>
      <c r="L152" s="485"/>
      <c r="M152" s="476">
        <f t="shared" si="52"/>
        <v>0</v>
      </c>
      <c r="N152" s="485"/>
      <c r="O152" s="476">
        <f t="shared" si="50"/>
        <v>0</v>
      </c>
      <c r="P152" s="476">
        <f t="shared" si="53"/>
        <v>0</v>
      </c>
    </row>
    <row r="153" spans="2:16" ht="12.5">
      <c r="B153" s="160" t="str">
        <f t="shared" si="56"/>
        <v/>
      </c>
      <c r="C153" s="470">
        <f>IF(D93="","-",+C152+1)</f>
        <v>2064</v>
      </c>
      <c r="D153" s="345">
        <f>IF(F152+SUM(E$101:E152)=D$92,F152,D$92-SUM(E$101:E152))</f>
        <v>0</v>
      </c>
      <c r="E153" s="484">
        <f t="shared" si="51"/>
        <v>0</v>
      </c>
      <c r="F153" s="483">
        <f t="shared" si="57"/>
        <v>0</v>
      </c>
      <c r="G153" s="483">
        <f t="shared" si="54"/>
        <v>0</v>
      </c>
      <c r="H153" s="484">
        <f t="shared" si="47"/>
        <v>0</v>
      </c>
      <c r="I153" s="540">
        <f t="shared" si="48"/>
        <v>0</v>
      </c>
      <c r="J153" s="476">
        <f t="shared" si="55"/>
        <v>0</v>
      </c>
      <c r="K153" s="476"/>
      <c r="L153" s="485"/>
      <c r="M153" s="476">
        <f t="shared" si="52"/>
        <v>0</v>
      </c>
      <c r="N153" s="485"/>
      <c r="O153" s="476">
        <f t="shared" si="50"/>
        <v>0</v>
      </c>
      <c r="P153" s="476">
        <f t="shared" si="53"/>
        <v>0</v>
      </c>
    </row>
    <row r="154" spans="2:16" ht="13" thickBot="1">
      <c r="B154" s="160" t="str">
        <f t="shared" si="56"/>
        <v/>
      </c>
      <c r="C154" s="487">
        <f>IF(D93="","-",+C153+1)</f>
        <v>2065</v>
      </c>
      <c r="D154" s="541">
        <f>IF(F153+SUM(E$101:E153)=D$92,F153,D$92-SUM(E$101:E153))</f>
        <v>0</v>
      </c>
      <c r="E154" s="542">
        <f t="shared" si="51"/>
        <v>0</v>
      </c>
      <c r="F154" s="488">
        <f t="shared" si="57"/>
        <v>0</v>
      </c>
      <c r="G154" s="488">
        <f t="shared" si="54"/>
        <v>0</v>
      </c>
      <c r="H154" s="490">
        <f t="shared" ref="H154" si="58">+J$94*G154+E154</f>
        <v>0</v>
      </c>
      <c r="I154" s="543">
        <f t="shared" ref="I154" si="59">+J$95*G154+E154</f>
        <v>0</v>
      </c>
      <c r="J154" s="493">
        <f t="shared" si="55"/>
        <v>0</v>
      </c>
      <c r="K154" s="476"/>
      <c r="L154" s="492"/>
      <c r="M154" s="493">
        <f t="shared" si="52"/>
        <v>0</v>
      </c>
      <c r="N154" s="492"/>
      <c r="O154" s="476">
        <f t="shared" si="50"/>
        <v>0</v>
      </c>
      <c r="P154" s="493">
        <f t="shared" si="53"/>
        <v>0</v>
      </c>
    </row>
    <row r="155" spans="2:16" ht="12.5">
      <c r="C155" s="345" t="s">
        <v>77</v>
      </c>
      <c r="D155" s="346"/>
      <c r="E155" s="346">
        <f>SUM(E101:E154)</f>
        <v>22097</v>
      </c>
      <c r="F155" s="346"/>
      <c r="G155" s="346"/>
      <c r="H155" s="346">
        <f>SUM(H101:H154)</f>
        <v>77461.582992799027</v>
      </c>
      <c r="I155" s="346">
        <f>SUM(I101:I154)</f>
        <v>77461.582992799027</v>
      </c>
      <c r="J155" s="346">
        <f>SUM(J101:J154)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41" priority="3" stopIfTrue="1" operator="equal">
      <formula>$I$10</formula>
    </cfRule>
  </conditionalFormatting>
  <conditionalFormatting sqref="C102:C152">
    <cfRule type="cellIs" dxfId="40" priority="4" stopIfTrue="1" operator="equal">
      <formula>$J$92</formula>
    </cfRule>
  </conditionalFormatting>
  <conditionalFormatting sqref="C153:C154">
    <cfRule type="cellIs" dxfId="39" priority="2" stopIfTrue="1" operator="equal">
      <formula>$J$92</formula>
    </cfRule>
  </conditionalFormatting>
  <conditionalFormatting sqref="C100:C101">
    <cfRule type="cellIs" dxfId="38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9"/>
  <dimension ref="A1:P162"/>
  <sheetViews>
    <sheetView zoomScaleNormal="100" zoomScaleSheetLayoutView="75" workbookViewId="0">
      <selection activeCell="D93" sqref="D9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14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111138.61538461538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111138.61538461538</v>
      </c>
      <c r="O6" s="231"/>
      <c r="P6" s="231"/>
    </row>
    <row r="7" spans="1:16" ht="13.5" thickBot="1">
      <c r="C7" s="429" t="s">
        <v>46</v>
      </c>
      <c r="D7" s="597" t="s">
        <v>239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238</v>
      </c>
      <c r="E9" s="575" t="s">
        <v>288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1035552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2013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26552.615384615383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8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2013</v>
      </c>
      <c r="D17" s="579">
        <v>5562500</v>
      </c>
      <c r="E17" s="599">
        <v>89142.628205128203</v>
      </c>
      <c r="F17" s="579">
        <v>5473357.371794872</v>
      </c>
      <c r="G17" s="599">
        <v>870775.06277038739</v>
      </c>
      <c r="H17" s="600">
        <v>870775.06277038739</v>
      </c>
      <c r="I17" s="473">
        <v>0</v>
      </c>
      <c r="J17" s="347"/>
      <c r="K17" s="552">
        <f t="shared" ref="K17:K22" si="0">G17</f>
        <v>870775.06277038739</v>
      </c>
      <c r="L17" s="601">
        <f t="shared" ref="L17:L22" si="1">IF(K17&lt;&gt;0,+G17-K17,0)</f>
        <v>0</v>
      </c>
      <c r="M17" s="552">
        <f t="shared" ref="M17:M22" si="2">H17</f>
        <v>870775.06277038739</v>
      </c>
      <c r="N17" s="475">
        <f t="shared" ref="N17:N22" si="3">IF(M17&lt;&gt;0,+H17-M17,0)</f>
        <v>0</v>
      </c>
      <c r="O17" s="473">
        <f t="shared" ref="O17:O22" si="4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2014</v>
      </c>
      <c r="D18" s="584">
        <v>5473357</v>
      </c>
      <c r="E18" s="583">
        <v>19910</v>
      </c>
      <c r="F18" s="584">
        <v>5453447</v>
      </c>
      <c r="G18" s="583">
        <v>770625</v>
      </c>
      <c r="H18" s="585">
        <v>770625</v>
      </c>
      <c r="I18" s="473">
        <f>H18-G18</f>
        <v>0</v>
      </c>
      <c r="J18" s="347"/>
      <c r="K18" s="474">
        <f t="shared" si="0"/>
        <v>770625</v>
      </c>
      <c r="L18" s="601">
        <f t="shared" si="1"/>
        <v>0</v>
      </c>
      <c r="M18" s="474">
        <f t="shared" si="2"/>
        <v>770625</v>
      </c>
      <c r="N18" s="476">
        <f t="shared" si="3"/>
        <v>0</v>
      </c>
      <c r="O18" s="473">
        <f t="shared" si="4"/>
        <v>0</v>
      </c>
      <c r="P18" s="241"/>
    </row>
    <row r="19" spans="2:16" ht="12.5">
      <c r="B19" s="160" t="str">
        <f>IF(D19=F18,"","IU")</f>
        <v/>
      </c>
      <c r="C19" s="470">
        <f>IF(D11="","-",+C18+1)</f>
        <v>2015</v>
      </c>
      <c r="D19" s="584">
        <v>5453447</v>
      </c>
      <c r="E19" s="583">
        <f t="shared" ref="E19:E72" si="5">IF(+$I$14&lt;F18,$I$14,D19)</f>
        <v>26552.615384615383</v>
      </c>
      <c r="F19" s="584">
        <v>5433533</v>
      </c>
      <c r="G19" s="583">
        <v>769045</v>
      </c>
      <c r="H19" s="585">
        <v>769045</v>
      </c>
      <c r="I19" s="473">
        <f t="shared" ref="I19:I72" si="6">H19-G19</f>
        <v>0</v>
      </c>
      <c r="J19" s="347"/>
      <c r="K19" s="474">
        <f t="shared" si="0"/>
        <v>769045</v>
      </c>
      <c r="L19" s="601">
        <f t="shared" si="1"/>
        <v>0</v>
      </c>
      <c r="M19" s="474">
        <f t="shared" si="2"/>
        <v>769045</v>
      </c>
      <c r="N19" s="476">
        <f t="shared" si="3"/>
        <v>0</v>
      </c>
      <c r="O19" s="473">
        <f t="shared" si="4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2016</v>
      </c>
      <c r="D20" s="584">
        <v>906584.91025641025</v>
      </c>
      <c r="E20" s="583">
        <v>19914.461538461539</v>
      </c>
      <c r="F20" s="584">
        <v>886670.44871794875</v>
      </c>
      <c r="G20" s="583">
        <v>136209.46153846153</v>
      </c>
      <c r="H20" s="585">
        <v>136209.46153846153</v>
      </c>
      <c r="I20" s="473">
        <f t="shared" si="6"/>
        <v>0</v>
      </c>
      <c r="J20" s="347"/>
      <c r="K20" s="474">
        <f t="shared" si="0"/>
        <v>136209.46153846153</v>
      </c>
      <c r="L20" s="601">
        <f t="shared" si="1"/>
        <v>0</v>
      </c>
      <c r="M20" s="474">
        <f t="shared" si="2"/>
        <v>136209.46153846153</v>
      </c>
      <c r="N20" s="476">
        <f t="shared" si="3"/>
        <v>0</v>
      </c>
      <c r="O20" s="473">
        <f t="shared" si="4"/>
        <v>0</v>
      </c>
      <c r="P20" s="241"/>
    </row>
    <row r="21" spans="2:16" ht="12.5">
      <c r="B21" s="160" t="str">
        <f t="shared" si="7"/>
        <v>IU</v>
      </c>
      <c r="C21" s="470">
        <f>IF(D11="","-",+C20+1)</f>
        <v>2017</v>
      </c>
      <c r="D21" s="584">
        <v>884072.91025641025</v>
      </c>
      <c r="E21" s="583">
        <v>22512</v>
      </c>
      <c r="F21" s="584">
        <v>861560.91025641025</v>
      </c>
      <c r="G21" s="583">
        <v>132155</v>
      </c>
      <c r="H21" s="585">
        <v>132155</v>
      </c>
      <c r="I21" s="473">
        <f t="shared" si="6"/>
        <v>0</v>
      </c>
      <c r="J21" s="347"/>
      <c r="K21" s="474">
        <f t="shared" si="0"/>
        <v>132155</v>
      </c>
      <c r="L21" s="601">
        <f t="shared" si="1"/>
        <v>0</v>
      </c>
      <c r="M21" s="474">
        <f t="shared" si="2"/>
        <v>132155</v>
      </c>
      <c r="N21" s="476">
        <f t="shared" si="3"/>
        <v>0</v>
      </c>
      <c r="O21" s="473">
        <f t="shared" si="4"/>
        <v>0</v>
      </c>
      <c r="P21" s="241"/>
    </row>
    <row r="22" spans="2:16" ht="12.5">
      <c r="B22" s="160" t="str">
        <f t="shared" si="7"/>
        <v>IU</v>
      </c>
      <c r="C22" s="470">
        <f>IF(D11="","-",+C21+1)</f>
        <v>2018</v>
      </c>
      <c r="D22" s="584">
        <v>861060.64358974365</v>
      </c>
      <c r="E22" s="583">
        <v>23012.266666666666</v>
      </c>
      <c r="F22" s="584">
        <v>838048.37692307692</v>
      </c>
      <c r="G22" s="583">
        <v>124754.01488848326</v>
      </c>
      <c r="H22" s="585">
        <v>124754.01488848326</v>
      </c>
      <c r="I22" s="473">
        <f t="shared" si="6"/>
        <v>0</v>
      </c>
      <c r="J22" s="347"/>
      <c r="K22" s="474">
        <f t="shared" si="0"/>
        <v>124754.01488848326</v>
      </c>
      <c r="L22" s="601">
        <f t="shared" si="1"/>
        <v>0</v>
      </c>
      <c r="M22" s="474">
        <f t="shared" si="2"/>
        <v>124754.01488848326</v>
      </c>
      <c r="N22" s="476">
        <f t="shared" si="3"/>
        <v>0</v>
      </c>
      <c r="O22" s="473">
        <f t="shared" si="4"/>
        <v>0</v>
      </c>
      <c r="P22" s="241"/>
    </row>
    <row r="23" spans="2:16" ht="12.5">
      <c r="B23" s="160" t="str">
        <f t="shared" si="7"/>
        <v>IU</v>
      </c>
      <c r="C23" s="470">
        <f>IF(D11="","-",+C22+1)</f>
        <v>2019</v>
      </c>
      <c r="D23" s="584">
        <v>835171.8435897436</v>
      </c>
      <c r="E23" s="583">
        <v>25888.799999999999</v>
      </c>
      <c r="F23" s="584">
        <v>809283.04358974355</v>
      </c>
      <c r="G23" s="583">
        <v>117695.9465116283</v>
      </c>
      <c r="H23" s="585">
        <v>117695.9465116283</v>
      </c>
      <c r="I23" s="473">
        <f t="shared" si="6"/>
        <v>0</v>
      </c>
      <c r="J23" s="473"/>
      <c r="K23" s="474">
        <f t="shared" ref="K23" si="8">G23</f>
        <v>117695.9465116283</v>
      </c>
      <c r="L23" s="601">
        <f t="shared" ref="L23" si="9">IF(K23&lt;&gt;0,+G23-K23,0)</f>
        <v>0</v>
      </c>
      <c r="M23" s="474">
        <f t="shared" ref="M23" si="10">H23</f>
        <v>117695.9465116283</v>
      </c>
      <c r="N23" s="476">
        <f t="shared" ref="N23:N72" si="11">IF(M23&lt;&gt;0,+H23-M23,0)</f>
        <v>0</v>
      </c>
      <c r="O23" s="476">
        <f t="shared" ref="O23:O72" si="12">+N23-L23</f>
        <v>0</v>
      </c>
      <c r="P23" s="241"/>
    </row>
    <row r="24" spans="2:16" ht="12.5">
      <c r="B24" s="160" t="str">
        <f t="shared" si="7"/>
        <v>IU</v>
      </c>
      <c r="C24" s="470">
        <f>IF(D11="","-",+C23+1)</f>
        <v>2020</v>
      </c>
      <c r="D24" s="584">
        <v>815036.1102564102</v>
      </c>
      <c r="E24" s="583">
        <v>24656</v>
      </c>
      <c r="F24" s="584">
        <v>790380.1102564102</v>
      </c>
      <c r="G24" s="583">
        <v>111352.31037205369</v>
      </c>
      <c r="H24" s="585">
        <v>111352.31037205369</v>
      </c>
      <c r="I24" s="473">
        <f t="shared" si="6"/>
        <v>0</v>
      </c>
      <c r="J24" s="473"/>
      <c r="K24" s="474">
        <f t="shared" ref="K24" si="13">G24</f>
        <v>111352.31037205369</v>
      </c>
      <c r="L24" s="601">
        <f t="shared" ref="L24" si="14">IF(K24&lt;&gt;0,+G24-K24,0)</f>
        <v>0</v>
      </c>
      <c r="M24" s="474">
        <f t="shared" ref="M24" si="15">H24</f>
        <v>111352.31037205369</v>
      </c>
      <c r="N24" s="476">
        <f t="shared" si="11"/>
        <v>0</v>
      </c>
      <c r="O24" s="476">
        <f t="shared" si="12"/>
        <v>0</v>
      </c>
      <c r="P24" s="241"/>
    </row>
    <row r="25" spans="2:16" ht="12.5">
      <c r="B25" s="160" t="str">
        <f t="shared" si="7"/>
        <v>IU</v>
      </c>
      <c r="C25" s="470">
        <f>IF(D11="","-",+C24+1)</f>
        <v>2021</v>
      </c>
      <c r="D25" s="584">
        <v>786433.23893858085</v>
      </c>
      <c r="E25" s="583">
        <v>24082.60465116279</v>
      </c>
      <c r="F25" s="584">
        <v>762350.6342874181</v>
      </c>
      <c r="G25" s="583">
        <v>106280.60465116279</v>
      </c>
      <c r="H25" s="585">
        <v>106280.60465116279</v>
      </c>
      <c r="I25" s="473">
        <f t="shared" si="6"/>
        <v>0</v>
      </c>
      <c r="J25" s="473"/>
      <c r="K25" s="474">
        <f t="shared" ref="K25" si="16">G25</f>
        <v>106280.60465116279</v>
      </c>
      <c r="L25" s="601">
        <f t="shared" ref="L25" si="17">IF(K25&lt;&gt;0,+G25-K25,0)</f>
        <v>0</v>
      </c>
      <c r="M25" s="474">
        <f t="shared" ref="M25" si="18">H25</f>
        <v>106280.60465116279</v>
      </c>
      <c r="N25" s="476">
        <f t="shared" si="11"/>
        <v>0</v>
      </c>
      <c r="O25" s="476">
        <f t="shared" si="12"/>
        <v>0</v>
      </c>
      <c r="P25" s="241"/>
    </row>
    <row r="26" spans="2:16" ht="12.5">
      <c r="B26" s="160" t="str">
        <f t="shared" si="7"/>
        <v>IU</v>
      </c>
      <c r="C26" s="470">
        <f>IF(D11="","-",+C25+1)</f>
        <v>2022</v>
      </c>
      <c r="D26" s="584">
        <v>761777.23893858085</v>
      </c>
      <c r="E26" s="583">
        <v>24656</v>
      </c>
      <c r="F26" s="584">
        <v>737121.23893858085</v>
      </c>
      <c r="G26" s="583">
        <v>104126</v>
      </c>
      <c r="H26" s="585">
        <v>104126</v>
      </c>
      <c r="I26" s="473">
        <f t="shared" si="6"/>
        <v>0</v>
      </c>
      <c r="J26" s="473"/>
      <c r="K26" s="474">
        <f t="shared" ref="K26" si="19">G26</f>
        <v>104126</v>
      </c>
      <c r="L26" s="601">
        <f t="shared" ref="L26" si="20">IF(K26&lt;&gt;0,+G26-K26,0)</f>
        <v>0</v>
      </c>
      <c r="M26" s="474">
        <f t="shared" ref="M26" si="21">H26</f>
        <v>104126</v>
      </c>
      <c r="N26" s="476">
        <f t="shared" si="11"/>
        <v>0</v>
      </c>
      <c r="O26" s="476">
        <f t="shared" si="12"/>
        <v>0</v>
      </c>
      <c r="P26" s="241"/>
    </row>
    <row r="27" spans="2:16" ht="12.5">
      <c r="B27" s="160" t="str">
        <f t="shared" si="7"/>
        <v>IU</v>
      </c>
      <c r="C27" s="470">
        <f>IF(D11="","-",+C26+1)</f>
        <v>2023</v>
      </c>
      <c r="D27" s="584">
        <v>735224.62355396547</v>
      </c>
      <c r="E27" s="583">
        <v>26552.615384615383</v>
      </c>
      <c r="F27" s="584">
        <v>708672.0081693501</v>
      </c>
      <c r="G27" s="583">
        <v>111138.61538461538</v>
      </c>
      <c r="H27" s="585">
        <v>111138.61538461538</v>
      </c>
      <c r="I27" s="473">
        <f t="shared" si="6"/>
        <v>0</v>
      </c>
      <c r="J27" s="473"/>
      <c r="K27" s="474">
        <f t="shared" ref="K27" si="22">G27</f>
        <v>111138.61538461538</v>
      </c>
      <c r="L27" s="601">
        <f t="shared" ref="L27" si="23">IF(K27&lt;&gt;0,+G27-K27,0)</f>
        <v>0</v>
      </c>
      <c r="M27" s="474">
        <f t="shared" ref="M27" si="24">H27</f>
        <v>111138.61538461538</v>
      </c>
      <c r="N27" s="476">
        <f t="shared" si="11"/>
        <v>0</v>
      </c>
      <c r="O27" s="476">
        <f t="shared" si="12"/>
        <v>0</v>
      </c>
      <c r="P27" s="241"/>
    </row>
    <row r="28" spans="2:16" ht="12.5">
      <c r="B28" s="160" t="str">
        <f t="shared" si="7"/>
        <v/>
      </c>
      <c r="C28" s="470">
        <f>IF(D11="","-",+C27+1)</f>
        <v>2024</v>
      </c>
      <c r="D28" s="483">
        <f>IF(F27+SUM(E$17:E27)=D$10,F27,D$10-SUM(E$17:E27))</f>
        <v>708672.0081693501</v>
      </c>
      <c r="E28" s="482">
        <f t="shared" si="5"/>
        <v>26552.615384615383</v>
      </c>
      <c r="F28" s="483">
        <f t="shared" ref="F28:F72" si="25">+D28-E28</f>
        <v>682119.39278473472</v>
      </c>
      <c r="G28" s="484">
        <f t="shared" ref="G28:G72" si="26">(D28+F28)/2*I$12+E28</f>
        <v>109554.31648480284</v>
      </c>
      <c r="H28" s="453">
        <f t="shared" ref="H28:H72" si="27">+(D28+F28)/2*I$13+E28</f>
        <v>109554.31648480284</v>
      </c>
      <c r="I28" s="473">
        <f t="shared" si="6"/>
        <v>0</v>
      </c>
      <c r="J28" s="473"/>
      <c r="K28" s="485"/>
      <c r="L28" s="476">
        <f t="shared" ref="L28:L72" si="28">IF(K28&lt;&gt;0,+G28-K28,0)</f>
        <v>0</v>
      </c>
      <c r="M28" s="485"/>
      <c r="N28" s="476">
        <f t="shared" si="11"/>
        <v>0</v>
      </c>
      <c r="O28" s="476">
        <f t="shared" si="12"/>
        <v>0</v>
      </c>
      <c r="P28" s="241"/>
    </row>
    <row r="29" spans="2:16" ht="12.5">
      <c r="B29" s="160" t="str">
        <f t="shared" si="7"/>
        <v/>
      </c>
      <c r="C29" s="470">
        <f>IF(D11="","-",+C28+1)</f>
        <v>2025</v>
      </c>
      <c r="D29" s="483">
        <f>IF(F28+SUM(E$17:E28)=D$10,F28,D$10-SUM(E$17:E28))</f>
        <v>682119.39278473472</v>
      </c>
      <c r="E29" s="482">
        <f t="shared" si="5"/>
        <v>26552.615384615383</v>
      </c>
      <c r="F29" s="483">
        <f t="shared" si="25"/>
        <v>655566.77740011935</v>
      </c>
      <c r="G29" s="484">
        <f t="shared" si="26"/>
        <v>106385.02417530163</v>
      </c>
      <c r="H29" s="453">
        <f t="shared" si="27"/>
        <v>106385.02417530163</v>
      </c>
      <c r="I29" s="473">
        <f t="shared" si="6"/>
        <v>0</v>
      </c>
      <c r="J29" s="473"/>
      <c r="K29" s="485"/>
      <c r="L29" s="476">
        <f t="shared" si="28"/>
        <v>0</v>
      </c>
      <c r="M29" s="485"/>
      <c r="N29" s="476">
        <f t="shared" si="11"/>
        <v>0</v>
      </c>
      <c r="O29" s="476">
        <f t="shared" si="12"/>
        <v>0</v>
      </c>
      <c r="P29" s="241"/>
    </row>
    <row r="30" spans="2:16" ht="12.5">
      <c r="B30" s="160" t="str">
        <f t="shared" si="7"/>
        <v/>
      </c>
      <c r="C30" s="470">
        <f>IF(D11="","-",+C29+1)</f>
        <v>2026</v>
      </c>
      <c r="D30" s="483">
        <f>IF(F29+SUM(E$17:E29)=D$10,F29,D$10-SUM(E$17:E29))</f>
        <v>655566.77740011935</v>
      </c>
      <c r="E30" s="482">
        <f t="shared" si="5"/>
        <v>26552.615384615383</v>
      </c>
      <c r="F30" s="483">
        <f t="shared" si="25"/>
        <v>629014.16201550397</v>
      </c>
      <c r="G30" s="484">
        <f t="shared" si="26"/>
        <v>103215.73186580045</v>
      </c>
      <c r="H30" s="453">
        <f t="shared" si="27"/>
        <v>103215.73186580045</v>
      </c>
      <c r="I30" s="473">
        <f t="shared" si="6"/>
        <v>0</v>
      </c>
      <c r="J30" s="473"/>
      <c r="K30" s="485"/>
      <c r="L30" s="476">
        <f t="shared" si="28"/>
        <v>0</v>
      </c>
      <c r="M30" s="485"/>
      <c r="N30" s="476">
        <f t="shared" si="11"/>
        <v>0</v>
      </c>
      <c r="O30" s="476">
        <f t="shared" si="12"/>
        <v>0</v>
      </c>
      <c r="P30" s="241"/>
    </row>
    <row r="31" spans="2:16" ht="12.5">
      <c r="B31" s="160" t="str">
        <f t="shared" si="7"/>
        <v/>
      </c>
      <c r="C31" s="470">
        <f>IF(D11="","-",+C30+1)</f>
        <v>2027</v>
      </c>
      <c r="D31" s="483">
        <f>IF(F30+SUM(E$17:E30)=D$10,F30,D$10-SUM(E$17:E30))</f>
        <v>629014.16201550397</v>
      </c>
      <c r="E31" s="482">
        <f t="shared" si="5"/>
        <v>26552.615384615383</v>
      </c>
      <c r="F31" s="483">
        <f t="shared" si="25"/>
        <v>602461.5466308886</v>
      </c>
      <c r="G31" s="484">
        <f t="shared" si="26"/>
        <v>100046.43955629924</v>
      </c>
      <c r="H31" s="453">
        <f t="shared" si="27"/>
        <v>100046.43955629924</v>
      </c>
      <c r="I31" s="473">
        <f t="shared" si="6"/>
        <v>0</v>
      </c>
      <c r="J31" s="473"/>
      <c r="K31" s="485"/>
      <c r="L31" s="476">
        <f t="shared" si="28"/>
        <v>0</v>
      </c>
      <c r="M31" s="485"/>
      <c r="N31" s="476">
        <f t="shared" si="11"/>
        <v>0</v>
      </c>
      <c r="O31" s="476">
        <f t="shared" si="12"/>
        <v>0</v>
      </c>
      <c r="P31" s="241"/>
    </row>
    <row r="32" spans="2:16" ht="12.5">
      <c r="B32" s="160" t="str">
        <f t="shared" si="7"/>
        <v/>
      </c>
      <c r="C32" s="470">
        <f>IF(D11="","-",+C31+1)</f>
        <v>2028</v>
      </c>
      <c r="D32" s="483">
        <f>IF(F31+SUM(E$17:E31)=D$10,F31,D$10-SUM(E$17:E31))</f>
        <v>602461.5466308886</v>
      </c>
      <c r="E32" s="482">
        <f t="shared" si="5"/>
        <v>26552.615384615383</v>
      </c>
      <c r="F32" s="483">
        <f t="shared" si="25"/>
        <v>575908.93124627322</v>
      </c>
      <c r="G32" s="484">
        <f t="shared" si="26"/>
        <v>96877.147246798064</v>
      </c>
      <c r="H32" s="453">
        <f t="shared" si="27"/>
        <v>96877.147246798064</v>
      </c>
      <c r="I32" s="473">
        <f t="shared" si="6"/>
        <v>0</v>
      </c>
      <c r="J32" s="473"/>
      <c r="K32" s="485"/>
      <c r="L32" s="476">
        <f t="shared" si="28"/>
        <v>0</v>
      </c>
      <c r="M32" s="485"/>
      <c r="N32" s="476">
        <f t="shared" si="11"/>
        <v>0</v>
      </c>
      <c r="O32" s="476">
        <f t="shared" si="12"/>
        <v>0</v>
      </c>
      <c r="P32" s="241"/>
    </row>
    <row r="33" spans="2:16" ht="12.5">
      <c r="B33" s="160" t="str">
        <f t="shared" si="7"/>
        <v/>
      </c>
      <c r="C33" s="470">
        <f>IF(D11="","-",+C32+1)</f>
        <v>2029</v>
      </c>
      <c r="D33" s="483">
        <f>IF(F32+SUM(E$17:E32)=D$10,F32,D$10-SUM(E$17:E32))</f>
        <v>575908.93124627322</v>
      </c>
      <c r="E33" s="482">
        <f t="shared" si="5"/>
        <v>26552.615384615383</v>
      </c>
      <c r="F33" s="483">
        <f t="shared" si="25"/>
        <v>549356.31586165784</v>
      </c>
      <c r="G33" s="484">
        <f t="shared" si="26"/>
        <v>93707.854937296855</v>
      </c>
      <c r="H33" s="453">
        <f t="shared" si="27"/>
        <v>93707.854937296855</v>
      </c>
      <c r="I33" s="473">
        <f t="shared" si="6"/>
        <v>0</v>
      </c>
      <c r="J33" s="473"/>
      <c r="K33" s="485"/>
      <c r="L33" s="476">
        <f t="shared" si="28"/>
        <v>0</v>
      </c>
      <c r="M33" s="485"/>
      <c r="N33" s="476">
        <f t="shared" si="11"/>
        <v>0</v>
      </c>
      <c r="O33" s="476">
        <f t="shared" si="12"/>
        <v>0</v>
      </c>
      <c r="P33" s="241"/>
    </row>
    <row r="34" spans="2:16" ht="12.5">
      <c r="B34" s="160" t="str">
        <f t="shared" si="7"/>
        <v/>
      </c>
      <c r="C34" s="470">
        <f>IF(D11="","-",+C33+1)</f>
        <v>2030</v>
      </c>
      <c r="D34" s="483">
        <f>IF(F33+SUM(E$17:E33)=D$10,F33,D$10-SUM(E$17:E33))</f>
        <v>549356.31586165784</v>
      </c>
      <c r="E34" s="482">
        <f t="shared" si="5"/>
        <v>26552.615384615383</v>
      </c>
      <c r="F34" s="483">
        <f t="shared" si="25"/>
        <v>522803.70047704247</v>
      </c>
      <c r="G34" s="484">
        <f t="shared" si="26"/>
        <v>90538.562627795691</v>
      </c>
      <c r="H34" s="453">
        <f t="shared" si="27"/>
        <v>90538.562627795691</v>
      </c>
      <c r="I34" s="473">
        <f t="shared" si="6"/>
        <v>0</v>
      </c>
      <c r="J34" s="473"/>
      <c r="K34" s="485"/>
      <c r="L34" s="476">
        <f t="shared" si="28"/>
        <v>0</v>
      </c>
      <c r="M34" s="485"/>
      <c r="N34" s="476">
        <f t="shared" si="11"/>
        <v>0</v>
      </c>
      <c r="O34" s="476">
        <f t="shared" si="12"/>
        <v>0</v>
      </c>
      <c r="P34" s="241"/>
    </row>
    <row r="35" spans="2:16" ht="12.5">
      <c r="B35" s="160" t="str">
        <f t="shared" si="7"/>
        <v/>
      </c>
      <c r="C35" s="470">
        <f>IF(D11="","-",+C34+1)</f>
        <v>2031</v>
      </c>
      <c r="D35" s="483">
        <f>IF(F34+SUM(E$17:E34)=D$10,F34,D$10-SUM(E$17:E34))</f>
        <v>522803.70047704247</v>
      </c>
      <c r="E35" s="482">
        <f t="shared" si="5"/>
        <v>26552.615384615383</v>
      </c>
      <c r="F35" s="483">
        <f t="shared" si="25"/>
        <v>496251.08509242709</v>
      </c>
      <c r="G35" s="484">
        <f t="shared" si="26"/>
        <v>87369.270318294497</v>
      </c>
      <c r="H35" s="453">
        <f t="shared" si="27"/>
        <v>87369.270318294497</v>
      </c>
      <c r="I35" s="473">
        <f t="shared" si="6"/>
        <v>0</v>
      </c>
      <c r="J35" s="473"/>
      <c r="K35" s="485"/>
      <c r="L35" s="476">
        <f t="shared" si="28"/>
        <v>0</v>
      </c>
      <c r="M35" s="485"/>
      <c r="N35" s="476">
        <f t="shared" si="11"/>
        <v>0</v>
      </c>
      <c r="O35" s="476">
        <f t="shared" si="12"/>
        <v>0</v>
      </c>
      <c r="P35" s="241"/>
    </row>
    <row r="36" spans="2:16" ht="12.5">
      <c r="B36" s="160" t="str">
        <f t="shared" si="7"/>
        <v/>
      </c>
      <c r="C36" s="470">
        <f>IF(D11="","-",+C35+1)</f>
        <v>2032</v>
      </c>
      <c r="D36" s="483">
        <f>IF(F35+SUM(E$17:E35)=D$10,F35,D$10-SUM(E$17:E35))</f>
        <v>496251.08509242709</v>
      </c>
      <c r="E36" s="482">
        <f t="shared" si="5"/>
        <v>26552.615384615383</v>
      </c>
      <c r="F36" s="483">
        <f t="shared" si="25"/>
        <v>469698.46970781172</v>
      </c>
      <c r="G36" s="484">
        <f t="shared" si="26"/>
        <v>84199.978008793289</v>
      </c>
      <c r="H36" s="453">
        <f t="shared" si="27"/>
        <v>84199.978008793289</v>
      </c>
      <c r="I36" s="473">
        <f t="shared" si="6"/>
        <v>0</v>
      </c>
      <c r="J36" s="473"/>
      <c r="K36" s="485"/>
      <c r="L36" s="476">
        <f t="shared" si="28"/>
        <v>0</v>
      </c>
      <c r="M36" s="485"/>
      <c r="N36" s="476">
        <f t="shared" si="11"/>
        <v>0</v>
      </c>
      <c r="O36" s="476">
        <f t="shared" si="12"/>
        <v>0</v>
      </c>
      <c r="P36" s="241"/>
    </row>
    <row r="37" spans="2:16" ht="12.5">
      <c r="B37" s="160" t="str">
        <f t="shared" si="7"/>
        <v/>
      </c>
      <c r="C37" s="470">
        <f>IF(D11="","-",+C36+1)</f>
        <v>2033</v>
      </c>
      <c r="D37" s="483">
        <f>IF(F36+SUM(E$17:E36)=D$10,F36,D$10-SUM(E$17:E36))</f>
        <v>469698.46970781172</v>
      </c>
      <c r="E37" s="482">
        <f t="shared" si="5"/>
        <v>26552.615384615383</v>
      </c>
      <c r="F37" s="483">
        <f t="shared" si="25"/>
        <v>443145.85432319634</v>
      </c>
      <c r="G37" s="484">
        <f t="shared" si="26"/>
        <v>81030.685699292109</v>
      </c>
      <c r="H37" s="453">
        <f t="shared" si="27"/>
        <v>81030.685699292109</v>
      </c>
      <c r="I37" s="473">
        <f t="shared" si="6"/>
        <v>0</v>
      </c>
      <c r="J37" s="473"/>
      <c r="K37" s="485"/>
      <c r="L37" s="476">
        <f t="shared" si="28"/>
        <v>0</v>
      </c>
      <c r="M37" s="485"/>
      <c r="N37" s="476">
        <f t="shared" si="11"/>
        <v>0</v>
      </c>
      <c r="O37" s="476">
        <f t="shared" si="12"/>
        <v>0</v>
      </c>
      <c r="P37" s="241"/>
    </row>
    <row r="38" spans="2:16" ht="12.5">
      <c r="B38" s="160" t="str">
        <f t="shared" si="7"/>
        <v/>
      </c>
      <c r="C38" s="470">
        <f>IF(D11="","-",+C37+1)</f>
        <v>2034</v>
      </c>
      <c r="D38" s="483">
        <f>IF(F37+SUM(E$17:E37)=D$10,F37,D$10-SUM(E$17:E37))</f>
        <v>443145.85432319634</v>
      </c>
      <c r="E38" s="482">
        <f t="shared" si="5"/>
        <v>26552.615384615383</v>
      </c>
      <c r="F38" s="483">
        <f t="shared" si="25"/>
        <v>416593.23893858097</v>
      </c>
      <c r="G38" s="484">
        <f t="shared" si="26"/>
        <v>77861.393389790916</v>
      </c>
      <c r="H38" s="453">
        <f t="shared" si="27"/>
        <v>77861.393389790916</v>
      </c>
      <c r="I38" s="473">
        <f t="shared" si="6"/>
        <v>0</v>
      </c>
      <c r="J38" s="473"/>
      <c r="K38" s="485"/>
      <c r="L38" s="476">
        <f t="shared" si="28"/>
        <v>0</v>
      </c>
      <c r="M38" s="485"/>
      <c r="N38" s="476">
        <f t="shared" si="11"/>
        <v>0</v>
      </c>
      <c r="O38" s="476">
        <f t="shared" si="12"/>
        <v>0</v>
      </c>
      <c r="P38" s="241"/>
    </row>
    <row r="39" spans="2:16" ht="12.5">
      <c r="B39" s="160" t="str">
        <f t="shared" si="7"/>
        <v/>
      </c>
      <c r="C39" s="470">
        <f>IF(D11="","-",+C38+1)</f>
        <v>2035</v>
      </c>
      <c r="D39" s="483">
        <f>IF(F38+SUM(E$17:E38)=D$10,F38,D$10-SUM(E$17:E38))</f>
        <v>416593.23893858097</v>
      </c>
      <c r="E39" s="482">
        <f t="shared" si="5"/>
        <v>26552.615384615383</v>
      </c>
      <c r="F39" s="483">
        <f t="shared" si="25"/>
        <v>390040.62355396559</v>
      </c>
      <c r="G39" s="484">
        <f t="shared" si="26"/>
        <v>74692.101080289722</v>
      </c>
      <c r="H39" s="453">
        <f t="shared" si="27"/>
        <v>74692.101080289722</v>
      </c>
      <c r="I39" s="473">
        <f t="shared" si="6"/>
        <v>0</v>
      </c>
      <c r="J39" s="473"/>
      <c r="K39" s="485"/>
      <c r="L39" s="476">
        <f t="shared" si="28"/>
        <v>0</v>
      </c>
      <c r="M39" s="485"/>
      <c r="N39" s="476">
        <f t="shared" si="11"/>
        <v>0</v>
      </c>
      <c r="O39" s="476">
        <f t="shared" si="12"/>
        <v>0</v>
      </c>
      <c r="P39" s="241"/>
    </row>
    <row r="40" spans="2:16" ht="12.5">
      <c r="B40" s="160" t="str">
        <f t="shared" si="7"/>
        <v/>
      </c>
      <c r="C40" s="470">
        <f>IF(D11="","-",+C39+1)</f>
        <v>2036</v>
      </c>
      <c r="D40" s="483">
        <f>IF(F39+SUM(E$17:E39)=D$10,F39,D$10-SUM(E$17:E39))</f>
        <v>390040.62355396559</v>
      </c>
      <c r="E40" s="482">
        <f t="shared" si="5"/>
        <v>26552.615384615383</v>
      </c>
      <c r="F40" s="483">
        <f t="shared" si="25"/>
        <v>363488.00816935021</v>
      </c>
      <c r="G40" s="484">
        <f t="shared" si="26"/>
        <v>71522.808770788542</v>
      </c>
      <c r="H40" s="453">
        <f t="shared" si="27"/>
        <v>71522.808770788542</v>
      </c>
      <c r="I40" s="473">
        <f t="shared" si="6"/>
        <v>0</v>
      </c>
      <c r="J40" s="473"/>
      <c r="K40" s="485"/>
      <c r="L40" s="476">
        <f t="shared" si="28"/>
        <v>0</v>
      </c>
      <c r="M40" s="485"/>
      <c r="N40" s="476">
        <f t="shared" si="11"/>
        <v>0</v>
      </c>
      <c r="O40" s="476">
        <f t="shared" si="12"/>
        <v>0</v>
      </c>
      <c r="P40" s="241"/>
    </row>
    <row r="41" spans="2:16" ht="12.5">
      <c r="B41" s="160" t="str">
        <f t="shared" si="7"/>
        <v/>
      </c>
      <c r="C41" s="470">
        <f>IF(D11="","-",+C40+1)</f>
        <v>2037</v>
      </c>
      <c r="D41" s="483">
        <f>IF(F40+SUM(E$17:E40)=D$10,F40,D$10-SUM(E$17:E40))</f>
        <v>363488.00816935021</v>
      </c>
      <c r="E41" s="482">
        <f t="shared" si="5"/>
        <v>26552.615384615383</v>
      </c>
      <c r="F41" s="483">
        <f t="shared" si="25"/>
        <v>336935.39278473484</v>
      </c>
      <c r="G41" s="484">
        <f t="shared" si="26"/>
        <v>68353.516461287349</v>
      </c>
      <c r="H41" s="453">
        <f t="shared" si="27"/>
        <v>68353.516461287349</v>
      </c>
      <c r="I41" s="473">
        <f t="shared" si="6"/>
        <v>0</v>
      </c>
      <c r="J41" s="473"/>
      <c r="K41" s="485"/>
      <c r="L41" s="476">
        <f t="shared" si="28"/>
        <v>0</v>
      </c>
      <c r="M41" s="485"/>
      <c r="N41" s="476">
        <f t="shared" si="11"/>
        <v>0</v>
      </c>
      <c r="O41" s="476">
        <f t="shared" si="12"/>
        <v>0</v>
      </c>
      <c r="P41" s="241"/>
    </row>
    <row r="42" spans="2:16" ht="12.5">
      <c r="B42" s="160" t="str">
        <f t="shared" si="7"/>
        <v/>
      </c>
      <c r="C42" s="470">
        <f>IF(D11="","-",+C41+1)</f>
        <v>2038</v>
      </c>
      <c r="D42" s="483">
        <f>IF(F41+SUM(E$17:E41)=D$10,F41,D$10-SUM(E$17:E41))</f>
        <v>336935.39278473484</v>
      </c>
      <c r="E42" s="482">
        <f t="shared" si="5"/>
        <v>26552.615384615383</v>
      </c>
      <c r="F42" s="483">
        <f t="shared" si="25"/>
        <v>310382.77740011946</v>
      </c>
      <c r="G42" s="484">
        <f t="shared" si="26"/>
        <v>65184.224151786155</v>
      </c>
      <c r="H42" s="453">
        <f t="shared" si="27"/>
        <v>65184.224151786155</v>
      </c>
      <c r="I42" s="473">
        <f t="shared" si="6"/>
        <v>0</v>
      </c>
      <c r="J42" s="473"/>
      <c r="K42" s="485"/>
      <c r="L42" s="476">
        <f t="shared" si="28"/>
        <v>0</v>
      </c>
      <c r="M42" s="485"/>
      <c r="N42" s="476">
        <f t="shared" si="11"/>
        <v>0</v>
      </c>
      <c r="O42" s="476">
        <f t="shared" si="12"/>
        <v>0</v>
      </c>
      <c r="P42" s="241"/>
    </row>
    <row r="43" spans="2:16" ht="12.5">
      <c r="B43" s="160" t="str">
        <f t="shared" si="7"/>
        <v/>
      </c>
      <c r="C43" s="470">
        <f>IF(D11="","-",+C42+1)</f>
        <v>2039</v>
      </c>
      <c r="D43" s="483">
        <f>IF(F42+SUM(E$17:E42)=D$10,F42,D$10-SUM(E$17:E42))</f>
        <v>310382.77740011946</v>
      </c>
      <c r="E43" s="482">
        <f t="shared" si="5"/>
        <v>26552.615384615383</v>
      </c>
      <c r="F43" s="483">
        <f t="shared" si="25"/>
        <v>283830.16201550409</v>
      </c>
      <c r="G43" s="484">
        <f t="shared" si="26"/>
        <v>62014.931842284961</v>
      </c>
      <c r="H43" s="453">
        <f t="shared" si="27"/>
        <v>62014.931842284961</v>
      </c>
      <c r="I43" s="473">
        <f t="shared" si="6"/>
        <v>0</v>
      </c>
      <c r="J43" s="473"/>
      <c r="K43" s="485"/>
      <c r="L43" s="476">
        <f t="shared" si="28"/>
        <v>0</v>
      </c>
      <c r="M43" s="485"/>
      <c r="N43" s="476">
        <f t="shared" si="11"/>
        <v>0</v>
      </c>
      <c r="O43" s="476">
        <f t="shared" si="12"/>
        <v>0</v>
      </c>
      <c r="P43" s="241"/>
    </row>
    <row r="44" spans="2:16" ht="12.5">
      <c r="B44" s="160" t="str">
        <f t="shared" si="7"/>
        <v/>
      </c>
      <c r="C44" s="470">
        <f>IF(D11="","-",+C43+1)</f>
        <v>2040</v>
      </c>
      <c r="D44" s="483">
        <f>IF(F43+SUM(E$17:E43)=D$10,F43,D$10-SUM(E$17:E43))</f>
        <v>283830.16201550409</v>
      </c>
      <c r="E44" s="482">
        <f t="shared" si="5"/>
        <v>26552.615384615383</v>
      </c>
      <c r="F44" s="483">
        <f t="shared" si="25"/>
        <v>257277.54663088871</v>
      </c>
      <c r="G44" s="484">
        <f t="shared" si="26"/>
        <v>58845.639532783774</v>
      </c>
      <c r="H44" s="453">
        <f t="shared" si="27"/>
        <v>58845.639532783774</v>
      </c>
      <c r="I44" s="473">
        <f t="shared" si="6"/>
        <v>0</v>
      </c>
      <c r="J44" s="473"/>
      <c r="K44" s="485"/>
      <c r="L44" s="476">
        <f t="shared" si="28"/>
        <v>0</v>
      </c>
      <c r="M44" s="485"/>
      <c r="N44" s="476">
        <f t="shared" si="11"/>
        <v>0</v>
      </c>
      <c r="O44" s="476">
        <f t="shared" si="12"/>
        <v>0</v>
      </c>
      <c r="P44" s="241"/>
    </row>
    <row r="45" spans="2:16" ht="12.5">
      <c r="B45" s="160" t="str">
        <f t="shared" si="7"/>
        <v/>
      </c>
      <c r="C45" s="470">
        <f>IF(D11="","-",+C44+1)</f>
        <v>2041</v>
      </c>
      <c r="D45" s="483">
        <f>IF(F44+SUM(E$17:E44)=D$10,F44,D$10-SUM(E$17:E44))</f>
        <v>257277.54663088871</v>
      </c>
      <c r="E45" s="482">
        <f t="shared" si="5"/>
        <v>26552.615384615383</v>
      </c>
      <c r="F45" s="483">
        <f t="shared" si="25"/>
        <v>230724.93124627334</v>
      </c>
      <c r="G45" s="484">
        <f t="shared" si="26"/>
        <v>55676.347223282588</v>
      </c>
      <c r="H45" s="453">
        <f t="shared" si="27"/>
        <v>55676.347223282588</v>
      </c>
      <c r="I45" s="473">
        <f t="shared" si="6"/>
        <v>0</v>
      </c>
      <c r="J45" s="473"/>
      <c r="K45" s="485"/>
      <c r="L45" s="476">
        <f t="shared" si="28"/>
        <v>0</v>
      </c>
      <c r="M45" s="485"/>
      <c r="N45" s="476">
        <f t="shared" si="11"/>
        <v>0</v>
      </c>
      <c r="O45" s="476">
        <f t="shared" si="12"/>
        <v>0</v>
      </c>
      <c r="P45" s="241"/>
    </row>
    <row r="46" spans="2:16" ht="12.5">
      <c r="B46" s="160" t="str">
        <f t="shared" si="7"/>
        <v/>
      </c>
      <c r="C46" s="470">
        <f>IF(D11="","-",+C45+1)</f>
        <v>2042</v>
      </c>
      <c r="D46" s="483">
        <f>IF(F45+SUM(E$17:E45)=D$10,F45,D$10-SUM(E$17:E45))</f>
        <v>230724.93124627334</v>
      </c>
      <c r="E46" s="482">
        <f t="shared" si="5"/>
        <v>26552.615384615383</v>
      </c>
      <c r="F46" s="483">
        <f t="shared" si="25"/>
        <v>204172.31586165796</v>
      </c>
      <c r="G46" s="484">
        <f t="shared" si="26"/>
        <v>52507.054913781394</v>
      </c>
      <c r="H46" s="453">
        <f t="shared" si="27"/>
        <v>52507.054913781394</v>
      </c>
      <c r="I46" s="473">
        <f t="shared" si="6"/>
        <v>0</v>
      </c>
      <c r="J46" s="473"/>
      <c r="K46" s="485"/>
      <c r="L46" s="476">
        <f t="shared" si="28"/>
        <v>0</v>
      </c>
      <c r="M46" s="485"/>
      <c r="N46" s="476">
        <f t="shared" si="11"/>
        <v>0</v>
      </c>
      <c r="O46" s="476">
        <f t="shared" si="12"/>
        <v>0</v>
      </c>
      <c r="P46" s="241"/>
    </row>
    <row r="47" spans="2:16" ht="12.5">
      <c r="B47" s="160" t="str">
        <f t="shared" si="7"/>
        <v/>
      </c>
      <c r="C47" s="470">
        <f>IF(D11="","-",+C46+1)</f>
        <v>2043</v>
      </c>
      <c r="D47" s="483">
        <f>IF(F46+SUM(E$17:E46)=D$10,F46,D$10-SUM(E$17:E46))</f>
        <v>204172.31586165796</v>
      </c>
      <c r="E47" s="482">
        <f t="shared" si="5"/>
        <v>26552.615384615383</v>
      </c>
      <c r="F47" s="483">
        <f t="shared" si="25"/>
        <v>177619.70047704258</v>
      </c>
      <c r="G47" s="484">
        <f t="shared" si="26"/>
        <v>49337.7626042802</v>
      </c>
      <c r="H47" s="453">
        <f t="shared" si="27"/>
        <v>49337.7626042802</v>
      </c>
      <c r="I47" s="473">
        <f t="shared" si="6"/>
        <v>0</v>
      </c>
      <c r="J47" s="473"/>
      <c r="K47" s="485"/>
      <c r="L47" s="476">
        <f t="shared" si="28"/>
        <v>0</v>
      </c>
      <c r="M47" s="485"/>
      <c r="N47" s="476">
        <f t="shared" si="11"/>
        <v>0</v>
      </c>
      <c r="O47" s="476">
        <f t="shared" si="12"/>
        <v>0</v>
      </c>
      <c r="P47" s="241"/>
    </row>
    <row r="48" spans="2:16" ht="12.5">
      <c r="B48" s="160" t="str">
        <f t="shared" si="7"/>
        <v/>
      </c>
      <c r="C48" s="470">
        <f>IF(D11="","-",+C47+1)</f>
        <v>2044</v>
      </c>
      <c r="D48" s="483">
        <f>IF(F47+SUM(E$17:E47)=D$10,F47,D$10-SUM(E$17:E47))</f>
        <v>177619.70047704258</v>
      </c>
      <c r="E48" s="482">
        <f t="shared" si="5"/>
        <v>26552.615384615383</v>
      </c>
      <c r="F48" s="483">
        <f t="shared" si="25"/>
        <v>151067.08509242721</v>
      </c>
      <c r="G48" s="484">
        <f t="shared" si="26"/>
        <v>46168.470294779007</v>
      </c>
      <c r="H48" s="453">
        <f t="shared" si="27"/>
        <v>46168.470294779007</v>
      </c>
      <c r="I48" s="473">
        <f t="shared" si="6"/>
        <v>0</v>
      </c>
      <c r="J48" s="473"/>
      <c r="K48" s="485"/>
      <c r="L48" s="476">
        <f t="shared" si="28"/>
        <v>0</v>
      </c>
      <c r="M48" s="485"/>
      <c r="N48" s="476">
        <f t="shared" si="11"/>
        <v>0</v>
      </c>
      <c r="O48" s="476">
        <f t="shared" si="12"/>
        <v>0</v>
      </c>
      <c r="P48" s="241"/>
    </row>
    <row r="49" spans="2:16" ht="12.5">
      <c r="B49" s="160" t="str">
        <f t="shared" si="7"/>
        <v/>
      </c>
      <c r="C49" s="470">
        <f>IF(D11="","-",+C48+1)</f>
        <v>2045</v>
      </c>
      <c r="D49" s="483">
        <f>IF(F48+SUM(E$17:E48)=D$10,F48,D$10-SUM(E$17:E48))</f>
        <v>151067.08509242721</v>
      </c>
      <c r="E49" s="482">
        <f t="shared" si="5"/>
        <v>26552.615384615383</v>
      </c>
      <c r="F49" s="483">
        <f t="shared" si="25"/>
        <v>124514.46970781183</v>
      </c>
      <c r="G49" s="484">
        <f t="shared" si="26"/>
        <v>42999.17798527782</v>
      </c>
      <c r="H49" s="453">
        <f t="shared" si="27"/>
        <v>42999.17798527782</v>
      </c>
      <c r="I49" s="473">
        <f t="shared" si="6"/>
        <v>0</v>
      </c>
      <c r="J49" s="473"/>
      <c r="K49" s="485"/>
      <c r="L49" s="476">
        <f t="shared" si="28"/>
        <v>0</v>
      </c>
      <c r="M49" s="485"/>
      <c r="N49" s="476">
        <f t="shared" si="11"/>
        <v>0</v>
      </c>
      <c r="O49" s="476">
        <f t="shared" si="12"/>
        <v>0</v>
      </c>
      <c r="P49" s="241"/>
    </row>
    <row r="50" spans="2:16" ht="12.5">
      <c r="B50" s="160" t="str">
        <f t="shared" si="7"/>
        <v/>
      </c>
      <c r="C50" s="470">
        <f>IF(D11="","-",+C49+1)</f>
        <v>2046</v>
      </c>
      <c r="D50" s="483">
        <f>IF(F49+SUM(E$17:E49)=D$10,F49,D$10-SUM(E$17:E49))</f>
        <v>124514.46970781183</v>
      </c>
      <c r="E50" s="482">
        <f t="shared" si="5"/>
        <v>26552.615384615383</v>
      </c>
      <c r="F50" s="483">
        <f t="shared" si="25"/>
        <v>97961.854323196458</v>
      </c>
      <c r="G50" s="484">
        <f t="shared" si="26"/>
        <v>39829.885675776626</v>
      </c>
      <c r="H50" s="453">
        <f t="shared" si="27"/>
        <v>39829.885675776626</v>
      </c>
      <c r="I50" s="473">
        <f t="shared" si="6"/>
        <v>0</v>
      </c>
      <c r="J50" s="473"/>
      <c r="K50" s="485"/>
      <c r="L50" s="476">
        <f t="shared" si="28"/>
        <v>0</v>
      </c>
      <c r="M50" s="485"/>
      <c r="N50" s="476">
        <f t="shared" si="11"/>
        <v>0</v>
      </c>
      <c r="O50" s="476">
        <f t="shared" si="12"/>
        <v>0</v>
      </c>
      <c r="P50" s="241"/>
    </row>
    <row r="51" spans="2:16" ht="12.5">
      <c r="B51" s="160" t="str">
        <f t="shared" si="7"/>
        <v/>
      </c>
      <c r="C51" s="470">
        <f>IF(D11="","-",+C50+1)</f>
        <v>2047</v>
      </c>
      <c r="D51" s="483">
        <f>IF(F50+SUM(E$17:E50)=D$10,F50,D$10-SUM(E$17:E50))</f>
        <v>97961.854323196458</v>
      </c>
      <c r="E51" s="482">
        <f t="shared" si="5"/>
        <v>26552.615384615383</v>
      </c>
      <c r="F51" s="483">
        <f t="shared" si="25"/>
        <v>71409.238938581082</v>
      </c>
      <c r="G51" s="484">
        <f t="shared" si="26"/>
        <v>36660.59336627544</v>
      </c>
      <c r="H51" s="453">
        <f t="shared" si="27"/>
        <v>36660.59336627544</v>
      </c>
      <c r="I51" s="473">
        <f t="shared" si="6"/>
        <v>0</v>
      </c>
      <c r="J51" s="473"/>
      <c r="K51" s="485"/>
      <c r="L51" s="476">
        <f t="shared" si="28"/>
        <v>0</v>
      </c>
      <c r="M51" s="485"/>
      <c r="N51" s="476">
        <f t="shared" si="11"/>
        <v>0</v>
      </c>
      <c r="O51" s="476">
        <f t="shared" si="12"/>
        <v>0</v>
      </c>
      <c r="P51" s="241"/>
    </row>
    <row r="52" spans="2:16" ht="12.5">
      <c r="B52" s="160" t="str">
        <f t="shared" si="7"/>
        <v/>
      </c>
      <c r="C52" s="470">
        <f>IF(D11="","-",+C51+1)</f>
        <v>2048</v>
      </c>
      <c r="D52" s="483">
        <f>IF(F51+SUM(E$17:E51)=D$10,F51,D$10-SUM(E$17:E51))</f>
        <v>71409.238938581082</v>
      </c>
      <c r="E52" s="482">
        <f t="shared" si="5"/>
        <v>26552.615384615383</v>
      </c>
      <c r="F52" s="483">
        <f t="shared" si="25"/>
        <v>44856.623553965699</v>
      </c>
      <c r="G52" s="484">
        <f t="shared" si="26"/>
        <v>33491.301056774246</v>
      </c>
      <c r="H52" s="453">
        <f t="shared" si="27"/>
        <v>33491.301056774246</v>
      </c>
      <c r="I52" s="473">
        <f t="shared" si="6"/>
        <v>0</v>
      </c>
      <c r="J52" s="473"/>
      <c r="K52" s="485"/>
      <c r="L52" s="476">
        <f t="shared" si="28"/>
        <v>0</v>
      </c>
      <c r="M52" s="485"/>
      <c r="N52" s="476">
        <f t="shared" si="11"/>
        <v>0</v>
      </c>
      <c r="O52" s="476">
        <f t="shared" si="12"/>
        <v>0</v>
      </c>
      <c r="P52" s="241"/>
    </row>
    <row r="53" spans="2:16" ht="12.5">
      <c r="B53" s="160" t="str">
        <f t="shared" si="7"/>
        <v/>
      </c>
      <c r="C53" s="470">
        <f>IF(D11="","-",+C52+1)</f>
        <v>2049</v>
      </c>
      <c r="D53" s="483">
        <f>IF(F52+SUM(E$17:E52)=D$10,F52,D$10-SUM(E$17:E52))</f>
        <v>44856.623553965699</v>
      </c>
      <c r="E53" s="482">
        <f t="shared" si="5"/>
        <v>26552.615384615383</v>
      </c>
      <c r="F53" s="483">
        <f t="shared" si="25"/>
        <v>18304.008169350316</v>
      </c>
      <c r="G53" s="484">
        <f t="shared" si="26"/>
        <v>30322.008747273056</v>
      </c>
      <c r="H53" s="453">
        <f t="shared" si="27"/>
        <v>30322.008747273056</v>
      </c>
      <c r="I53" s="473">
        <f t="shared" si="6"/>
        <v>0</v>
      </c>
      <c r="J53" s="473"/>
      <c r="K53" s="485"/>
      <c r="L53" s="476">
        <f t="shared" si="28"/>
        <v>0</v>
      </c>
      <c r="M53" s="485"/>
      <c r="N53" s="476">
        <f t="shared" si="11"/>
        <v>0</v>
      </c>
      <c r="O53" s="476">
        <f t="shared" si="12"/>
        <v>0</v>
      </c>
      <c r="P53" s="241"/>
    </row>
    <row r="54" spans="2:16" ht="12.5">
      <c r="B54" s="160" t="str">
        <f t="shared" si="7"/>
        <v/>
      </c>
      <c r="C54" s="470">
        <f>IF(D11="","-",+C53+1)</f>
        <v>2050</v>
      </c>
      <c r="D54" s="483">
        <f>IF(F53+SUM(E$17:E53)=D$10,F53,D$10-SUM(E$17:E53))</f>
        <v>18304.008169350316</v>
      </c>
      <c r="E54" s="482">
        <f t="shared" si="5"/>
        <v>18304.008169350316</v>
      </c>
      <c r="F54" s="483">
        <f t="shared" si="25"/>
        <v>0</v>
      </c>
      <c r="G54" s="484">
        <f t="shared" si="26"/>
        <v>19396.381773303856</v>
      </c>
      <c r="H54" s="453">
        <f t="shared" si="27"/>
        <v>19396.381773303856</v>
      </c>
      <c r="I54" s="473">
        <f t="shared" si="6"/>
        <v>0</v>
      </c>
      <c r="J54" s="473"/>
      <c r="K54" s="485"/>
      <c r="L54" s="476">
        <f t="shared" si="28"/>
        <v>0</v>
      </c>
      <c r="M54" s="485"/>
      <c r="N54" s="476">
        <f t="shared" si="11"/>
        <v>0</v>
      </c>
      <c r="O54" s="476">
        <f t="shared" si="12"/>
        <v>0</v>
      </c>
      <c r="P54" s="241"/>
    </row>
    <row r="55" spans="2:16" ht="12.5">
      <c r="B55" s="160" t="str">
        <f t="shared" si="7"/>
        <v/>
      </c>
      <c r="C55" s="470">
        <f>IF(D11="","-",+C54+1)</f>
        <v>2051</v>
      </c>
      <c r="D55" s="483">
        <f>IF(F54+SUM(E$17:E54)=D$10,F54,D$10-SUM(E$17:E54))</f>
        <v>0</v>
      </c>
      <c r="E55" s="482">
        <f t="shared" si="5"/>
        <v>0</v>
      </c>
      <c r="F55" s="483">
        <f t="shared" si="25"/>
        <v>0</v>
      </c>
      <c r="G55" s="484">
        <f t="shared" si="26"/>
        <v>0</v>
      </c>
      <c r="H55" s="453">
        <f t="shared" si="27"/>
        <v>0</v>
      </c>
      <c r="I55" s="473">
        <f t="shared" si="6"/>
        <v>0</v>
      </c>
      <c r="J55" s="473"/>
      <c r="K55" s="485"/>
      <c r="L55" s="476">
        <f t="shared" si="28"/>
        <v>0</v>
      </c>
      <c r="M55" s="485"/>
      <c r="N55" s="476">
        <f t="shared" si="11"/>
        <v>0</v>
      </c>
      <c r="O55" s="476">
        <f t="shared" si="12"/>
        <v>0</v>
      </c>
      <c r="P55" s="241"/>
    </row>
    <row r="56" spans="2:16" ht="12.5">
      <c r="B56" s="160" t="str">
        <f t="shared" si="7"/>
        <v/>
      </c>
      <c r="C56" s="470">
        <f>IF(D11="","-",+C55+1)</f>
        <v>2052</v>
      </c>
      <c r="D56" s="483">
        <f>IF(F55+SUM(E$17:E55)=D$10,F55,D$10-SUM(E$17:E55))</f>
        <v>0</v>
      </c>
      <c r="E56" s="482">
        <f t="shared" si="5"/>
        <v>0</v>
      </c>
      <c r="F56" s="483">
        <f t="shared" si="25"/>
        <v>0</v>
      </c>
      <c r="G56" s="484">
        <f t="shared" si="26"/>
        <v>0</v>
      </c>
      <c r="H56" s="453">
        <f t="shared" si="27"/>
        <v>0</v>
      </c>
      <c r="I56" s="473">
        <f t="shared" si="6"/>
        <v>0</v>
      </c>
      <c r="J56" s="473"/>
      <c r="K56" s="485"/>
      <c r="L56" s="476">
        <f t="shared" si="28"/>
        <v>0</v>
      </c>
      <c r="M56" s="485"/>
      <c r="N56" s="476">
        <f t="shared" si="11"/>
        <v>0</v>
      </c>
      <c r="O56" s="476">
        <f t="shared" si="12"/>
        <v>0</v>
      </c>
      <c r="P56" s="241"/>
    </row>
    <row r="57" spans="2:16" ht="12.5">
      <c r="B57" s="160" t="str">
        <f t="shared" si="7"/>
        <v/>
      </c>
      <c r="C57" s="470">
        <f>IF(D11="","-",+C56+1)</f>
        <v>2053</v>
      </c>
      <c r="D57" s="483">
        <f>IF(F56+SUM(E$17:E56)=D$10,F56,D$10-SUM(E$17:E56))</f>
        <v>0</v>
      </c>
      <c r="E57" s="482">
        <f t="shared" si="5"/>
        <v>0</v>
      </c>
      <c r="F57" s="483">
        <f t="shared" si="25"/>
        <v>0</v>
      </c>
      <c r="G57" s="484">
        <f t="shared" si="26"/>
        <v>0</v>
      </c>
      <c r="H57" s="453">
        <f t="shared" si="27"/>
        <v>0</v>
      </c>
      <c r="I57" s="473">
        <f t="shared" si="6"/>
        <v>0</v>
      </c>
      <c r="J57" s="473"/>
      <c r="K57" s="485"/>
      <c r="L57" s="476">
        <f t="shared" si="28"/>
        <v>0</v>
      </c>
      <c r="M57" s="485"/>
      <c r="N57" s="476">
        <f t="shared" si="11"/>
        <v>0</v>
      </c>
      <c r="O57" s="476">
        <f t="shared" si="12"/>
        <v>0</v>
      </c>
      <c r="P57" s="241"/>
    </row>
    <row r="58" spans="2:16" ht="12.5">
      <c r="B58" s="160" t="str">
        <f t="shared" si="7"/>
        <v/>
      </c>
      <c r="C58" s="470">
        <f>IF(D11="","-",+C57+1)</f>
        <v>2054</v>
      </c>
      <c r="D58" s="483">
        <f>IF(F57+SUM(E$17:E57)=D$10,F57,D$10-SUM(E$17:E57))</f>
        <v>0</v>
      </c>
      <c r="E58" s="482">
        <f t="shared" si="5"/>
        <v>0</v>
      </c>
      <c r="F58" s="483">
        <f t="shared" si="25"/>
        <v>0</v>
      </c>
      <c r="G58" s="484">
        <f t="shared" si="26"/>
        <v>0</v>
      </c>
      <c r="H58" s="453">
        <f t="shared" si="27"/>
        <v>0</v>
      </c>
      <c r="I58" s="473">
        <f t="shared" si="6"/>
        <v>0</v>
      </c>
      <c r="J58" s="473"/>
      <c r="K58" s="485"/>
      <c r="L58" s="476">
        <f t="shared" si="28"/>
        <v>0</v>
      </c>
      <c r="M58" s="485"/>
      <c r="N58" s="476">
        <f t="shared" si="11"/>
        <v>0</v>
      </c>
      <c r="O58" s="476">
        <f t="shared" si="12"/>
        <v>0</v>
      </c>
      <c r="P58" s="241"/>
    </row>
    <row r="59" spans="2:16" ht="12.5">
      <c r="B59" s="160" t="str">
        <f t="shared" si="7"/>
        <v/>
      </c>
      <c r="C59" s="470">
        <f>IF(D11="","-",+C58+1)</f>
        <v>2055</v>
      </c>
      <c r="D59" s="483">
        <f>IF(F58+SUM(E$17:E58)=D$10,F58,D$10-SUM(E$17:E58))</f>
        <v>0</v>
      </c>
      <c r="E59" s="482">
        <f t="shared" si="5"/>
        <v>0</v>
      </c>
      <c r="F59" s="483">
        <f t="shared" si="25"/>
        <v>0</v>
      </c>
      <c r="G59" s="484">
        <f t="shared" si="26"/>
        <v>0</v>
      </c>
      <c r="H59" s="453">
        <f t="shared" si="27"/>
        <v>0</v>
      </c>
      <c r="I59" s="473">
        <f t="shared" si="6"/>
        <v>0</v>
      </c>
      <c r="J59" s="473"/>
      <c r="K59" s="485"/>
      <c r="L59" s="476">
        <f t="shared" si="28"/>
        <v>0</v>
      </c>
      <c r="M59" s="485"/>
      <c r="N59" s="476">
        <f t="shared" si="11"/>
        <v>0</v>
      </c>
      <c r="O59" s="476">
        <f t="shared" si="12"/>
        <v>0</v>
      </c>
      <c r="P59" s="241"/>
    </row>
    <row r="60" spans="2:16" ht="12.5">
      <c r="B60" s="160" t="str">
        <f t="shared" si="7"/>
        <v/>
      </c>
      <c r="C60" s="470">
        <f>IF(D11="","-",+C59+1)</f>
        <v>2056</v>
      </c>
      <c r="D60" s="483">
        <f>IF(F59+SUM(E$17:E59)=D$10,F59,D$10-SUM(E$17:E59))</f>
        <v>0</v>
      </c>
      <c r="E60" s="482">
        <f t="shared" si="5"/>
        <v>0</v>
      </c>
      <c r="F60" s="483">
        <f t="shared" si="25"/>
        <v>0</v>
      </c>
      <c r="G60" s="484">
        <f t="shared" si="26"/>
        <v>0</v>
      </c>
      <c r="H60" s="453">
        <f t="shared" si="27"/>
        <v>0</v>
      </c>
      <c r="I60" s="473">
        <f t="shared" si="6"/>
        <v>0</v>
      </c>
      <c r="J60" s="473"/>
      <c r="K60" s="485"/>
      <c r="L60" s="476">
        <f t="shared" si="28"/>
        <v>0</v>
      </c>
      <c r="M60" s="485"/>
      <c r="N60" s="476">
        <f t="shared" si="11"/>
        <v>0</v>
      </c>
      <c r="O60" s="476">
        <f t="shared" si="12"/>
        <v>0</v>
      </c>
      <c r="P60" s="241"/>
    </row>
    <row r="61" spans="2:16" ht="12.5">
      <c r="B61" s="160" t="str">
        <f t="shared" si="7"/>
        <v/>
      </c>
      <c r="C61" s="470">
        <f>IF(D11="","-",+C60+1)</f>
        <v>2057</v>
      </c>
      <c r="D61" s="483">
        <f>IF(F60+SUM(E$17:E60)=D$10,F60,D$10-SUM(E$17:E60))</f>
        <v>0</v>
      </c>
      <c r="E61" s="482">
        <f t="shared" si="5"/>
        <v>0</v>
      </c>
      <c r="F61" s="483">
        <f t="shared" si="25"/>
        <v>0</v>
      </c>
      <c r="G61" s="484">
        <f t="shared" si="26"/>
        <v>0</v>
      </c>
      <c r="H61" s="453">
        <f t="shared" si="27"/>
        <v>0</v>
      </c>
      <c r="I61" s="473">
        <f t="shared" si="6"/>
        <v>0</v>
      </c>
      <c r="J61" s="473"/>
      <c r="K61" s="485"/>
      <c r="L61" s="476">
        <f t="shared" si="28"/>
        <v>0</v>
      </c>
      <c r="M61" s="485"/>
      <c r="N61" s="476">
        <f t="shared" si="11"/>
        <v>0</v>
      </c>
      <c r="O61" s="476">
        <f t="shared" si="12"/>
        <v>0</v>
      </c>
      <c r="P61" s="241"/>
    </row>
    <row r="62" spans="2:16" ht="12.5">
      <c r="B62" s="160" t="str">
        <f t="shared" si="7"/>
        <v/>
      </c>
      <c r="C62" s="470">
        <f>IF(D11="","-",+C61+1)</f>
        <v>2058</v>
      </c>
      <c r="D62" s="483">
        <f>IF(F61+SUM(E$17:E61)=D$10,F61,D$10-SUM(E$17:E61))</f>
        <v>0</v>
      </c>
      <c r="E62" s="482">
        <f t="shared" si="5"/>
        <v>0</v>
      </c>
      <c r="F62" s="483">
        <f t="shared" si="25"/>
        <v>0</v>
      </c>
      <c r="G62" s="484">
        <f t="shared" si="26"/>
        <v>0</v>
      </c>
      <c r="H62" s="453">
        <f t="shared" si="27"/>
        <v>0</v>
      </c>
      <c r="I62" s="473">
        <f t="shared" si="6"/>
        <v>0</v>
      </c>
      <c r="J62" s="473"/>
      <c r="K62" s="485"/>
      <c r="L62" s="476">
        <f t="shared" si="28"/>
        <v>0</v>
      </c>
      <c r="M62" s="485"/>
      <c r="N62" s="476">
        <f t="shared" si="11"/>
        <v>0</v>
      </c>
      <c r="O62" s="476">
        <f t="shared" si="12"/>
        <v>0</v>
      </c>
      <c r="P62" s="241"/>
    </row>
    <row r="63" spans="2:16" ht="12.5">
      <c r="B63" s="160" t="str">
        <f t="shared" si="7"/>
        <v/>
      </c>
      <c r="C63" s="470">
        <f>IF(D11="","-",+C62+1)</f>
        <v>2059</v>
      </c>
      <c r="D63" s="483">
        <f>IF(F62+SUM(E$17:E62)=D$10,F62,D$10-SUM(E$17:E62))</f>
        <v>0</v>
      </c>
      <c r="E63" s="482">
        <f t="shared" si="5"/>
        <v>0</v>
      </c>
      <c r="F63" s="483">
        <f t="shared" si="25"/>
        <v>0</v>
      </c>
      <c r="G63" s="484">
        <f t="shared" si="26"/>
        <v>0</v>
      </c>
      <c r="H63" s="453">
        <f t="shared" si="27"/>
        <v>0</v>
      </c>
      <c r="I63" s="473">
        <f t="shared" si="6"/>
        <v>0</v>
      </c>
      <c r="J63" s="473"/>
      <c r="K63" s="485"/>
      <c r="L63" s="476">
        <f t="shared" si="28"/>
        <v>0</v>
      </c>
      <c r="M63" s="485"/>
      <c r="N63" s="476">
        <f t="shared" si="11"/>
        <v>0</v>
      </c>
      <c r="O63" s="476">
        <f t="shared" si="12"/>
        <v>0</v>
      </c>
      <c r="P63" s="241"/>
    </row>
    <row r="64" spans="2:16" ht="12.5">
      <c r="B64" s="160" t="str">
        <f t="shared" si="7"/>
        <v/>
      </c>
      <c r="C64" s="470">
        <f>IF(D11="","-",+C63+1)</f>
        <v>2060</v>
      </c>
      <c r="D64" s="483">
        <f>IF(F63+SUM(E$17:E63)=D$10,F63,D$10-SUM(E$17:E63))</f>
        <v>0</v>
      </c>
      <c r="E64" s="482">
        <f t="shared" si="5"/>
        <v>0</v>
      </c>
      <c r="F64" s="483">
        <f t="shared" si="25"/>
        <v>0</v>
      </c>
      <c r="G64" s="484">
        <f t="shared" si="26"/>
        <v>0</v>
      </c>
      <c r="H64" s="453">
        <f t="shared" si="27"/>
        <v>0</v>
      </c>
      <c r="I64" s="473">
        <f t="shared" si="6"/>
        <v>0</v>
      </c>
      <c r="J64" s="473"/>
      <c r="K64" s="485"/>
      <c r="L64" s="476">
        <f t="shared" si="28"/>
        <v>0</v>
      </c>
      <c r="M64" s="485"/>
      <c r="N64" s="476">
        <f t="shared" si="11"/>
        <v>0</v>
      </c>
      <c r="O64" s="476">
        <f t="shared" si="12"/>
        <v>0</v>
      </c>
      <c r="P64" s="241"/>
    </row>
    <row r="65" spans="2:16" ht="12.5">
      <c r="B65" s="160" t="str">
        <f t="shared" si="7"/>
        <v/>
      </c>
      <c r="C65" s="470">
        <f>IF(D11="","-",+C64+1)</f>
        <v>2061</v>
      </c>
      <c r="D65" s="483">
        <f>IF(F64+SUM(E$17:E64)=D$10,F64,D$10-SUM(E$17:E64))</f>
        <v>0</v>
      </c>
      <c r="E65" s="482">
        <f t="shared" si="5"/>
        <v>0</v>
      </c>
      <c r="F65" s="483">
        <f t="shared" si="25"/>
        <v>0</v>
      </c>
      <c r="G65" s="484">
        <f t="shared" si="26"/>
        <v>0</v>
      </c>
      <c r="H65" s="453">
        <f t="shared" si="27"/>
        <v>0</v>
      </c>
      <c r="I65" s="473">
        <f t="shared" si="6"/>
        <v>0</v>
      </c>
      <c r="J65" s="473"/>
      <c r="K65" s="485"/>
      <c r="L65" s="476">
        <f t="shared" si="28"/>
        <v>0</v>
      </c>
      <c r="M65" s="485"/>
      <c r="N65" s="476">
        <f t="shared" si="11"/>
        <v>0</v>
      </c>
      <c r="O65" s="476">
        <f t="shared" si="12"/>
        <v>0</v>
      </c>
      <c r="P65" s="241"/>
    </row>
    <row r="66" spans="2:16" ht="12.5">
      <c r="B66" s="160" t="str">
        <f t="shared" si="7"/>
        <v/>
      </c>
      <c r="C66" s="470">
        <f>IF(D11="","-",+C65+1)</f>
        <v>2062</v>
      </c>
      <c r="D66" s="483">
        <f>IF(F65+SUM(E$17:E65)=D$10,F65,D$10-SUM(E$17:E65))</f>
        <v>0</v>
      </c>
      <c r="E66" s="482">
        <f t="shared" si="5"/>
        <v>0</v>
      </c>
      <c r="F66" s="483">
        <f t="shared" si="25"/>
        <v>0</v>
      </c>
      <c r="G66" s="484">
        <f t="shared" si="26"/>
        <v>0</v>
      </c>
      <c r="H66" s="453">
        <f t="shared" si="27"/>
        <v>0</v>
      </c>
      <c r="I66" s="473">
        <f t="shared" si="6"/>
        <v>0</v>
      </c>
      <c r="J66" s="473"/>
      <c r="K66" s="485"/>
      <c r="L66" s="476">
        <f t="shared" si="28"/>
        <v>0</v>
      </c>
      <c r="M66" s="485"/>
      <c r="N66" s="476">
        <f t="shared" si="11"/>
        <v>0</v>
      </c>
      <c r="O66" s="476">
        <f t="shared" si="12"/>
        <v>0</v>
      </c>
      <c r="P66" s="241"/>
    </row>
    <row r="67" spans="2:16" ht="12.5">
      <c r="B67" s="160" t="str">
        <f t="shared" si="7"/>
        <v/>
      </c>
      <c r="C67" s="470">
        <f>IF(D11="","-",+C66+1)</f>
        <v>2063</v>
      </c>
      <c r="D67" s="483">
        <f>IF(F66+SUM(E$17:E66)=D$10,F66,D$10-SUM(E$17:E66))</f>
        <v>0</v>
      </c>
      <c r="E67" s="482">
        <f t="shared" si="5"/>
        <v>0</v>
      </c>
      <c r="F67" s="483">
        <f t="shared" si="25"/>
        <v>0</v>
      </c>
      <c r="G67" s="484">
        <f t="shared" si="26"/>
        <v>0</v>
      </c>
      <c r="H67" s="453">
        <f t="shared" si="27"/>
        <v>0</v>
      </c>
      <c r="I67" s="473">
        <f t="shared" si="6"/>
        <v>0</v>
      </c>
      <c r="J67" s="473"/>
      <c r="K67" s="485"/>
      <c r="L67" s="476">
        <f t="shared" si="28"/>
        <v>0</v>
      </c>
      <c r="M67" s="485"/>
      <c r="N67" s="476">
        <f t="shared" si="11"/>
        <v>0</v>
      </c>
      <c r="O67" s="476">
        <f t="shared" si="12"/>
        <v>0</v>
      </c>
      <c r="P67" s="241"/>
    </row>
    <row r="68" spans="2:16" ht="12.5">
      <c r="B68" s="160" t="str">
        <f t="shared" si="7"/>
        <v/>
      </c>
      <c r="C68" s="470">
        <f>IF(D11="","-",+C67+1)</f>
        <v>2064</v>
      </c>
      <c r="D68" s="483">
        <f>IF(F67+SUM(E$17:E67)=D$10,F67,D$10-SUM(E$17:E67))</f>
        <v>0</v>
      </c>
      <c r="E68" s="482">
        <f t="shared" si="5"/>
        <v>0</v>
      </c>
      <c r="F68" s="483">
        <f t="shared" si="25"/>
        <v>0</v>
      </c>
      <c r="G68" s="484">
        <f t="shared" si="26"/>
        <v>0</v>
      </c>
      <c r="H68" s="453">
        <f t="shared" si="27"/>
        <v>0</v>
      </c>
      <c r="I68" s="473">
        <f t="shared" si="6"/>
        <v>0</v>
      </c>
      <c r="J68" s="473"/>
      <c r="K68" s="485"/>
      <c r="L68" s="476">
        <f t="shared" si="28"/>
        <v>0</v>
      </c>
      <c r="M68" s="485"/>
      <c r="N68" s="476">
        <f t="shared" si="11"/>
        <v>0</v>
      </c>
      <c r="O68" s="476">
        <f t="shared" si="12"/>
        <v>0</v>
      </c>
      <c r="P68" s="241"/>
    </row>
    <row r="69" spans="2:16" ht="12.5">
      <c r="B69" s="160" t="str">
        <f t="shared" si="7"/>
        <v/>
      </c>
      <c r="C69" s="470">
        <f>IF(D11="","-",+C68+1)</f>
        <v>2065</v>
      </c>
      <c r="D69" s="483">
        <f>IF(F68+SUM(E$17:E68)=D$10,F68,D$10-SUM(E$17:E68))</f>
        <v>0</v>
      </c>
      <c r="E69" s="482">
        <f t="shared" si="5"/>
        <v>0</v>
      </c>
      <c r="F69" s="483">
        <f t="shared" si="25"/>
        <v>0</v>
      </c>
      <c r="G69" s="484">
        <f t="shared" si="26"/>
        <v>0</v>
      </c>
      <c r="H69" s="453">
        <f t="shared" si="27"/>
        <v>0</v>
      </c>
      <c r="I69" s="473">
        <f t="shared" si="6"/>
        <v>0</v>
      </c>
      <c r="J69" s="473"/>
      <c r="K69" s="485"/>
      <c r="L69" s="476">
        <f t="shared" si="28"/>
        <v>0</v>
      </c>
      <c r="M69" s="485"/>
      <c r="N69" s="476">
        <f t="shared" si="11"/>
        <v>0</v>
      </c>
      <c r="O69" s="476">
        <f t="shared" si="12"/>
        <v>0</v>
      </c>
      <c r="P69" s="241"/>
    </row>
    <row r="70" spans="2:16" ht="12.5">
      <c r="B70" s="160" t="str">
        <f t="shared" si="7"/>
        <v/>
      </c>
      <c r="C70" s="470">
        <f>IF(D11="","-",+C69+1)</f>
        <v>2066</v>
      </c>
      <c r="D70" s="483">
        <f>IF(F69+SUM(E$17:E69)=D$10,F69,D$10-SUM(E$17:E69))</f>
        <v>0</v>
      </c>
      <c r="E70" s="482">
        <f t="shared" si="5"/>
        <v>0</v>
      </c>
      <c r="F70" s="483">
        <f t="shared" si="25"/>
        <v>0</v>
      </c>
      <c r="G70" s="484">
        <f t="shared" si="26"/>
        <v>0</v>
      </c>
      <c r="H70" s="453">
        <f t="shared" si="27"/>
        <v>0</v>
      </c>
      <c r="I70" s="473">
        <f t="shared" si="6"/>
        <v>0</v>
      </c>
      <c r="J70" s="473"/>
      <c r="K70" s="485"/>
      <c r="L70" s="476">
        <f t="shared" si="28"/>
        <v>0</v>
      </c>
      <c r="M70" s="485"/>
      <c r="N70" s="476">
        <f t="shared" si="11"/>
        <v>0</v>
      </c>
      <c r="O70" s="476">
        <f t="shared" si="12"/>
        <v>0</v>
      </c>
      <c r="P70" s="241"/>
    </row>
    <row r="71" spans="2:16" ht="12.5">
      <c r="B71" s="160" t="str">
        <f t="shared" si="7"/>
        <v/>
      </c>
      <c r="C71" s="470">
        <f>IF(D11="","-",+C70+1)</f>
        <v>2067</v>
      </c>
      <c r="D71" s="483">
        <f>IF(F70+SUM(E$17:E70)=D$10,F70,D$10-SUM(E$17:E70))</f>
        <v>0</v>
      </c>
      <c r="E71" s="482">
        <f t="shared" si="5"/>
        <v>0</v>
      </c>
      <c r="F71" s="483">
        <f t="shared" si="25"/>
        <v>0</v>
      </c>
      <c r="G71" s="484">
        <f t="shared" si="26"/>
        <v>0</v>
      </c>
      <c r="H71" s="453">
        <f t="shared" si="27"/>
        <v>0</v>
      </c>
      <c r="I71" s="473">
        <f t="shared" si="6"/>
        <v>0</v>
      </c>
      <c r="J71" s="473"/>
      <c r="K71" s="485"/>
      <c r="L71" s="476">
        <f t="shared" si="28"/>
        <v>0</v>
      </c>
      <c r="M71" s="485"/>
      <c r="N71" s="476">
        <f t="shared" si="11"/>
        <v>0</v>
      </c>
      <c r="O71" s="476">
        <f t="shared" si="12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2068</v>
      </c>
      <c r="D72" s="488">
        <f>IF(F71+SUM(E$17:E71)=D$10,F71,D$10-SUM(E$17:E71))</f>
        <v>0</v>
      </c>
      <c r="E72" s="489">
        <f t="shared" si="5"/>
        <v>0</v>
      </c>
      <c r="F72" s="488">
        <f t="shared" si="25"/>
        <v>0</v>
      </c>
      <c r="G72" s="488">
        <f t="shared" si="26"/>
        <v>0</v>
      </c>
      <c r="H72" s="488">
        <f t="shared" si="27"/>
        <v>0</v>
      </c>
      <c r="I72" s="493">
        <f t="shared" si="6"/>
        <v>0</v>
      </c>
      <c r="J72" s="488"/>
      <c r="K72" s="492"/>
      <c r="L72" s="493">
        <f t="shared" si="28"/>
        <v>0</v>
      </c>
      <c r="M72" s="492"/>
      <c r="N72" s="493">
        <f t="shared" si="11"/>
        <v>0</v>
      </c>
      <c r="O72" s="493">
        <f t="shared" si="12"/>
        <v>0</v>
      </c>
      <c r="P72" s="241"/>
    </row>
    <row r="73" spans="2:16" ht="12.5">
      <c r="C73" s="345" t="s">
        <v>77</v>
      </c>
      <c r="D73" s="346"/>
      <c r="E73" s="346">
        <f>SUM(E17:E72)</f>
        <v>1035552.0000000001</v>
      </c>
      <c r="F73" s="346"/>
      <c r="G73" s="346">
        <f>SUM(G17:G72)</f>
        <v>5191945.6259070858</v>
      </c>
      <c r="H73" s="346">
        <f>SUM(H17:H72)</f>
        <v>5191945.6259070858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14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111138.61538461538</v>
      </c>
      <c r="N87" s="506">
        <f>IF(J92&lt;D11,0,VLOOKUP(J92,C17:O72,11))</f>
        <v>111138.61538461538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118089.66414766702</v>
      </c>
      <c r="N88" s="510">
        <f>IF(J92&lt;D11,0,VLOOKUP(J92,C99:P154,7))</f>
        <v>118089.66414766702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Ashdown West - Craig Junction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6951.0487630516436</v>
      </c>
      <c r="N89" s="515">
        <f>+N88-N87</f>
        <v>6951.0487630516436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TP2009092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+D10</f>
        <v>1035552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714">
        <f>D11</f>
        <v>2013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+D12</f>
        <v>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27251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2013</v>
      </c>
      <c r="D99" s="582">
        <v>0</v>
      </c>
      <c r="E99" s="583">
        <v>16595</v>
      </c>
      <c r="F99" s="584">
        <v>1018741</v>
      </c>
      <c r="G99" s="602">
        <v>509371</v>
      </c>
      <c r="H99" s="603">
        <v>89910</v>
      </c>
      <c r="I99" s="604">
        <v>89910</v>
      </c>
      <c r="J99" s="476">
        <v>0</v>
      </c>
      <c r="K99" s="476"/>
      <c r="L99" s="474">
        <f t="shared" ref="L99:L104" si="29">H99</f>
        <v>89910</v>
      </c>
      <c r="M99" s="347">
        <f t="shared" ref="M99:M104" si="30">IF(L99&lt;&gt;0,+H99-L99,0)</f>
        <v>0</v>
      </c>
      <c r="N99" s="474">
        <f t="shared" ref="N99:N104" si="31">I99</f>
        <v>89910</v>
      </c>
      <c r="O99" s="473">
        <f t="shared" ref="O99:O104" si="32">IF(N99&lt;&gt;0,+I99-N99,0)</f>
        <v>0</v>
      </c>
      <c r="P99" s="476">
        <f t="shared" ref="P99:P104" si="33">+O99-M99</f>
        <v>0</v>
      </c>
    </row>
    <row r="100" spans="1:16" ht="12.5">
      <c r="B100" s="160" t="str">
        <f>IF(D100=F99,"","IU")</f>
        <v>IU</v>
      </c>
      <c r="C100" s="470">
        <f>IF(D93="","-",+C99+1)</f>
        <v>2014</v>
      </c>
      <c r="D100" s="582">
        <v>1018957</v>
      </c>
      <c r="E100" s="583">
        <v>19914</v>
      </c>
      <c r="F100" s="584">
        <v>999043</v>
      </c>
      <c r="G100" s="584">
        <v>1009000</v>
      </c>
      <c r="H100" s="583">
        <v>161775</v>
      </c>
      <c r="I100" s="585">
        <v>161775</v>
      </c>
      <c r="J100" s="476">
        <f>+I100-H100</f>
        <v>0</v>
      </c>
      <c r="K100" s="476"/>
      <c r="L100" s="474">
        <f t="shared" si="29"/>
        <v>161775</v>
      </c>
      <c r="M100" s="347">
        <f t="shared" si="30"/>
        <v>0</v>
      </c>
      <c r="N100" s="474">
        <f t="shared" si="31"/>
        <v>161775</v>
      </c>
      <c r="O100" s="473">
        <f t="shared" si="32"/>
        <v>0</v>
      </c>
      <c r="P100" s="476">
        <f t="shared" si="33"/>
        <v>0</v>
      </c>
    </row>
    <row r="101" spans="1:16" ht="12.5">
      <c r="B101" s="160" t="str">
        <f t="shared" ref="B101:B154" si="34">IF(D101=F100,"","IU")</f>
        <v/>
      </c>
      <c r="C101" s="470">
        <f>IF(D93="","-",+C100+1)</f>
        <v>2015</v>
      </c>
      <c r="D101" s="582">
        <v>999043</v>
      </c>
      <c r="E101" s="583">
        <v>19914</v>
      </c>
      <c r="F101" s="584">
        <v>979129</v>
      </c>
      <c r="G101" s="584">
        <v>989086</v>
      </c>
      <c r="H101" s="583">
        <v>154866.83205665913</v>
      </c>
      <c r="I101" s="585">
        <v>154866.83205665913</v>
      </c>
      <c r="J101" s="476">
        <f>+I101-H101</f>
        <v>0</v>
      </c>
      <c r="K101" s="476"/>
      <c r="L101" s="474">
        <f t="shared" si="29"/>
        <v>154866.83205665913</v>
      </c>
      <c r="M101" s="347">
        <f t="shared" si="30"/>
        <v>0</v>
      </c>
      <c r="N101" s="474">
        <f t="shared" si="31"/>
        <v>154866.83205665913</v>
      </c>
      <c r="O101" s="473">
        <f t="shared" si="32"/>
        <v>0</v>
      </c>
      <c r="P101" s="476">
        <f t="shared" si="33"/>
        <v>0</v>
      </c>
    </row>
    <row r="102" spans="1:16" ht="12.5">
      <c r="B102" s="160" t="str">
        <f t="shared" si="34"/>
        <v/>
      </c>
      <c r="C102" s="470">
        <f>IF(D93="","-",+C101+1)</f>
        <v>2016</v>
      </c>
      <c r="D102" s="582">
        <v>979129</v>
      </c>
      <c r="E102" s="583">
        <v>22512</v>
      </c>
      <c r="F102" s="584">
        <v>956617</v>
      </c>
      <c r="G102" s="584">
        <v>967873</v>
      </c>
      <c r="H102" s="583">
        <v>147286.07261026395</v>
      </c>
      <c r="I102" s="585">
        <v>147286.07261026395</v>
      </c>
      <c r="J102" s="476">
        <f t="shared" ref="J102:J154" si="35">+I102-H102</f>
        <v>0</v>
      </c>
      <c r="K102" s="476"/>
      <c r="L102" s="474">
        <f t="shared" si="29"/>
        <v>147286.07261026395</v>
      </c>
      <c r="M102" s="347">
        <f t="shared" si="30"/>
        <v>0</v>
      </c>
      <c r="N102" s="474">
        <f t="shared" si="31"/>
        <v>147286.07261026395</v>
      </c>
      <c r="O102" s="473">
        <f t="shared" si="32"/>
        <v>0</v>
      </c>
      <c r="P102" s="476">
        <f t="shared" si="33"/>
        <v>0</v>
      </c>
    </row>
    <row r="103" spans="1:16" ht="12.5">
      <c r="B103" s="160" t="str">
        <f t="shared" si="34"/>
        <v/>
      </c>
      <c r="C103" s="470">
        <f>IF(D93="","-",+C102+1)</f>
        <v>2017</v>
      </c>
      <c r="D103" s="582">
        <v>956617</v>
      </c>
      <c r="E103" s="583">
        <v>22512</v>
      </c>
      <c r="F103" s="584">
        <v>934105</v>
      </c>
      <c r="G103" s="584">
        <v>945361</v>
      </c>
      <c r="H103" s="583">
        <v>142433.42657860837</v>
      </c>
      <c r="I103" s="585">
        <v>142433.42657860837</v>
      </c>
      <c r="J103" s="476">
        <f t="shared" si="35"/>
        <v>0</v>
      </c>
      <c r="K103" s="476"/>
      <c r="L103" s="474">
        <f t="shared" si="29"/>
        <v>142433.42657860837</v>
      </c>
      <c r="M103" s="347">
        <f t="shared" si="30"/>
        <v>0</v>
      </c>
      <c r="N103" s="474">
        <f t="shared" si="31"/>
        <v>142433.42657860837</v>
      </c>
      <c r="O103" s="473">
        <f t="shared" si="32"/>
        <v>0</v>
      </c>
      <c r="P103" s="476">
        <f t="shared" si="33"/>
        <v>0</v>
      </c>
    </row>
    <row r="104" spans="1:16" ht="12.5">
      <c r="B104" s="160" t="str">
        <f t="shared" si="34"/>
        <v/>
      </c>
      <c r="C104" s="470">
        <f>IF(D93="","-",+C103+1)</f>
        <v>2018</v>
      </c>
      <c r="D104" s="582">
        <v>934105</v>
      </c>
      <c r="E104" s="583">
        <v>24083</v>
      </c>
      <c r="F104" s="584">
        <v>910022</v>
      </c>
      <c r="G104" s="584">
        <v>922063.5</v>
      </c>
      <c r="H104" s="583">
        <v>118811.71632291189</v>
      </c>
      <c r="I104" s="585">
        <v>118811.71632291189</v>
      </c>
      <c r="J104" s="476">
        <f t="shared" si="35"/>
        <v>0</v>
      </c>
      <c r="K104" s="476"/>
      <c r="L104" s="474">
        <f t="shared" si="29"/>
        <v>118811.71632291189</v>
      </c>
      <c r="M104" s="347">
        <f t="shared" si="30"/>
        <v>0</v>
      </c>
      <c r="N104" s="474">
        <f t="shared" si="31"/>
        <v>118811.71632291189</v>
      </c>
      <c r="O104" s="473">
        <f t="shared" si="32"/>
        <v>0</v>
      </c>
      <c r="P104" s="476">
        <f t="shared" si="33"/>
        <v>0</v>
      </c>
    </row>
    <row r="105" spans="1:16" ht="12.5">
      <c r="B105" s="160" t="str">
        <f t="shared" si="34"/>
        <v/>
      </c>
      <c r="C105" s="470">
        <f>IF(D93="","-",+C104+1)</f>
        <v>2019</v>
      </c>
      <c r="D105" s="582">
        <v>910022</v>
      </c>
      <c r="E105" s="583">
        <v>25257</v>
      </c>
      <c r="F105" s="584">
        <v>884765</v>
      </c>
      <c r="G105" s="584">
        <v>897393.5</v>
      </c>
      <c r="H105" s="583">
        <v>117790.85676358812</v>
      </c>
      <c r="I105" s="585">
        <v>117790.85676358812</v>
      </c>
      <c r="J105" s="476">
        <f t="shared" si="35"/>
        <v>0</v>
      </c>
      <c r="K105" s="476"/>
      <c r="L105" s="474">
        <f t="shared" ref="L105" si="36">H105</f>
        <v>117790.85676358812</v>
      </c>
      <c r="M105" s="347">
        <f t="shared" ref="M105" si="37">IF(L105&lt;&gt;0,+H105-L105,0)</f>
        <v>0</v>
      </c>
      <c r="N105" s="474">
        <f t="shared" ref="N105" si="38">I105</f>
        <v>117790.85676358812</v>
      </c>
      <c r="O105" s="476">
        <f t="shared" ref="O105:O130" si="39">IF(N105&lt;&gt;0,+I105-N105,0)</f>
        <v>0</v>
      </c>
      <c r="P105" s="476">
        <f t="shared" ref="P105:P130" si="40">+O105-M105</f>
        <v>0</v>
      </c>
    </row>
    <row r="106" spans="1:16" ht="12.5">
      <c r="B106" s="160" t="str">
        <f t="shared" si="34"/>
        <v/>
      </c>
      <c r="C106" s="470">
        <f>IF(D93="","-",+C105+1)</f>
        <v>2020</v>
      </c>
      <c r="D106" s="582">
        <v>884765</v>
      </c>
      <c r="E106" s="583">
        <v>24083</v>
      </c>
      <c r="F106" s="584">
        <v>860682</v>
      </c>
      <c r="G106" s="584">
        <v>872723.5</v>
      </c>
      <c r="H106" s="583">
        <v>124705.62019457563</v>
      </c>
      <c r="I106" s="585">
        <v>124705.62019457563</v>
      </c>
      <c r="J106" s="476">
        <f t="shared" si="35"/>
        <v>0</v>
      </c>
      <c r="K106" s="476"/>
      <c r="L106" s="474">
        <f t="shared" ref="L106" si="41">H106</f>
        <v>124705.62019457563</v>
      </c>
      <c r="M106" s="347">
        <f t="shared" ref="M106" si="42">IF(L106&lt;&gt;0,+H106-L106,0)</f>
        <v>0</v>
      </c>
      <c r="N106" s="474">
        <f t="shared" ref="N106" si="43">I106</f>
        <v>124705.62019457563</v>
      </c>
      <c r="O106" s="476">
        <f t="shared" si="39"/>
        <v>0</v>
      </c>
      <c r="P106" s="476">
        <f t="shared" si="40"/>
        <v>0</v>
      </c>
    </row>
    <row r="107" spans="1:16" ht="12.5">
      <c r="B107" s="160" t="str">
        <f t="shared" si="34"/>
        <v/>
      </c>
      <c r="C107" s="470">
        <f>IF(D93="","-",+C106+1)</f>
        <v>2021</v>
      </c>
      <c r="D107" s="582">
        <v>860682</v>
      </c>
      <c r="E107" s="583">
        <v>25257</v>
      </c>
      <c r="F107" s="584">
        <v>835425</v>
      </c>
      <c r="G107" s="584">
        <v>848053.5</v>
      </c>
      <c r="H107" s="583">
        <v>121759.37640510849</v>
      </c>
      <c r="I107" s="585">
        <v>121759.37640510849</v>
      </c>
      <c r="J107" s="476">
        <f t="shared" si="35"/>
        <v>0</v>
      </c>
      <c r="K107" s="476"/>
      <c r="L107" s="474">
        <f t="shared" ref="L107" si="44">H107</f>
        <v>121759.37640510849</v>
      </c>
      <c r="M107" s="347">
        <f t="shared" ref="M107" si="45">IF(L107&lt;&gt;0,+H107-L107,0)</f>
        <v>0</v>
      </c>
      <c r="N107" s="474">
        <f t="shared" ref="N107" si="46">I107</f>
        <v>121759.37640510849</v>
      </c>
      <c r="O107" s="476">
        <f t="shared" si="39"/>
        <v>0</v>
      </c>
      <c r="P107" s="476">
        <f t="shared" si="40"/>
        <v>0</v>
      </c>
    </row>
    <row r="108" spans="1:16" ht="12.5">
      <c r="B108" s="160" t="str">
        <f t="shared" si="34"/>
        <v/>
      </c>
      <c r="C108" s="470">
        <f>IF(D93="","-",+C107+1)</f>
        <v>2022</v>
      </c>
      <c r="D108" s="582">
        <v>835425</v>
      </c>
      <c r="E108" s="583">
        <v>26553</v>
      </c>
      <c r="F108" s="584">
        <v>808872</v>
      </c>
      <c r="G108" s="584">
        <v>822148.5</v>
      </c>
      <c r="H108" s="583">
        <v>117139.50278773616</v>
      </c>
      <c r="I108" s="585">
        <v>117139.50278773616</v>
      </c>
      <c r="J108" s="476">
        <f t="shared" si="35"/>
        <v>0</v>
      </c>
      <c r="K108" s="476"/>
      <c r="L108" s="474">
        <f t="shared" ref="L108" si="47">H108</f>
        <v>117139.50278773616</v>
      </c>
      <c r="M108" s="347">
        <f t="shared" ref="M108" si="48">IF(L108&lt;&gt;0,+H108-L108,0)</f>
        <v>0</v>
      </c>
      <c r="N108" s="474">
        <f t="shared" ref="N108" si="49">I108</f>
        <v>117139.50278773616</v>
      </c>
      <c r="O108" s="476">
        <f t="shared" ref="O108" si="50">IF(N108&lt;&gt;0,+I108-N108,0)</f>
        <v>0</v>
      </c>
      <c r="P108" s="476">
        <f t="shared" ref="P108" si="51">+O108-M108</f>
        <v>0</v>
      </c>
    </row>
    <row r="109" spans="1:16" ht="12.5">
      <c r="B109" s="160" t="str">
        <f t="shared" si="34"/>
        <v/>
      </c>
      <c r="C109" s="470">
        <f>IF(D93="","-",+C108+1)</f>
        <v>2023</v>
      </c>
      <c r="D109" s="345">
        <f>IF(F108+SUM(E$99:E108)=D$92,F108,D$92-SUM(E$99:E108))</f>
        <v>808872</v>
      </c>
      <c r="E109" s="482">
        <f t="shared" ref="E109:E154" si="52">IF(+J$96&lt;F108,J$96,D109)</f>
        <v>27251</v>
      </c>
      <c r="F109" s="483">
        <f t="shared" ref="F109:F154" si="53">+D109-E109</f>
        <v>781621</v>
      </c>
      <c r="G109" s="483">
        <f t="shared" ref="G109:G154" si="54">+(F109+D109)/2</f>
        <v>795246.5</v>
      </c>
      <c r="H109" s="484">
        <f t="shared" ref="H109:H152" si="55">(D109+F109)/2*J$94+E109</f>
        <v>118089.66414766702</v>
      </c>
      <c r="I109" s="540">
        <f t="shared" ref="I109:I152" si="56">+J$95*G109+E109</f>
        <v>118089.66414766702</v>
      </c>
      <c r="J109" s="476">
        <f t="shared" si="35"/>
        <v>0</v>
      </c>
      <c r="K109" s="476"/>
      <c r="L109" s="485"/>
      <c r="M109" s="476">
        <f t="shared" ref="M109:M130" si="57">IF(L109&lt;&gt;0,+H109-L109,0)</f>
        <v>0</v>
      </c>
      <c r="N109" s="485"/>
      <c r="O109" s="476">
        <f t="shared" si="39"/>
        <v>0</v>
      </c>
      <c r="P109" s="476">
        <f t="shared" si="40"/>
        <v>0</v>
      </c>
    </row>
    <row r="110" spans="1:16" ht="12.5">
      <c r="B110" s="160" t="str">
        <f t="shared" si="34"/>
        <v/>
      </c>
      <c r="C110" s="470">
        <f>IF(D93="","-",+C109+1)</f>
        <v>2024</v>
      </c>
      <c r="D110" s="345">
        <f>IF(F109+SUM(E$99:E109)=D$92,F109,D$92-SUM(E$99:E109))</f>
        <v>781621</v>
      </c>
      <c r="E110" s="482">
        <f t="shared" si="52"/>
        <v>27251</v>
      </c>
      <c r="F110" s="483">
        <f t="shared" si="53"/>
        <v>754370</v>
      </c>
      <c r="G110" s="483">
        <f t="shared" si="54"/>
        <v>767995.5</v>
      </c>
      <c r="H110" s="484">
        <f t="shared" si="55"/>
        <v>114976.86272485275</v>
      </c>
      <c r="I110" s="540">
        <f t="shared" si="56"/>
        <v>114976.86272485275</v>
      </c>
      <c r="J110" s="476">
        <f t="shared" si="35"/>
        <v>0</v>
      </c>
      <c r="K110" s="476"/>
      <c r="L110" s="485"/>
      <c r="M110" s="476">
        <f t="shared" si="57"/>
        <v>0</v>
      </c>
      <c r="N110" s="485"/>
      <c r="O110" s="476">
        <f t="shared" si="39"/>
        <v>0</v>
      </c>
      <c r="P110" s="476">
        <f t="shared" si="40"/>
        <v>0</v>
      </c>
    </row>
    <row r="111" spans="1:16" ht="12.5">
      <c r="B111" s="160" t="str">
        <f t="shared" si="34"/>
        <v/>
      </c>
      <c r="C111" s="470">
        <f>IF(D93="","-",+C110+1)</f>
        <v>2025</v>
      </c>
      <c r="D111" s="345">
        <f>IF(F110+SUM(E$99:E110)=D$92,F110,D$92-SUM(E$99:E110))</f>
        <v>754370</v>
      </c>
      <c r="E111" s="482">
        <f t="shared" si="52"/>
        <v>27251</v>
      </c>
      <c r="F111" s="483">
        <f t="shared" si="53"/>
        <v>727119</v>
      </c>
      <c r="G111" s="483">
        <f t="shared" si="54"/>
        <v>740744.5</v>
      </c>
      <c r="H111" s="484">
        <f t="shared" si="55"/>
        <v>111864.06130203846</v>
      </c>
      <c r="I111" s="540">
        <f t="shared" si="56"/>
        <v>111864.06130203846</v>
      </c>
      <c r="J111" s="476">
        <f t="shared" si="35"/>
        <v>0</v>
      </c>
      <c r="K111" s="476"/>
      <c r="L111" s="485"/>
      <c r="M111" s="476">
        <f t="shared" si="57"/>
        <v>0</v>
      </c>
      <c r="N111" s="485"/>
      <c r="O111" s="476">
        <f t="shared" si="39"/>
        <v>0</v>
      </c>
      <c r="P111" s="476">
        <f t="shared" si="40"/>
        <v>0</v>
      </c>
    </row>
    <row r="112" spans="1:16" ht="12.5">
      <c r="B112" s="160" t="str">
        <f t="shared" si="34"/>
        <v/>
      </c>
      <c r="C112" s="470">
        <f>IF(D93="","-",+C111+1)</f>
        <v>2026</v>
      </c>
      <c r="D112" s="345">
        <f>IF(F111+SUM(E$99:E111)=D$92,F111,D$92-SUM(E$99:E111))</f>
        <v>727119</v>
      </c>
      <c r="E112" s="482">
        <f t="shared" si="52"/>
        <v>27251</v>
      </c>
      <c r="F112" s="483">
        <f t="shared" si="53"/>
        <v>699868</v>
      </c>
      <c r="G112" s="483">
        <f t="shared" si="54"/>
        <v>713493.5</v>
      </c>
      <c r="H112" s="484">
        <f t="shared" si="55"/>
        <v>108751.25987922419</v>
      </c>
      <c r="I112" s="540">
        <f t="shared" si="56"/>
        <v>108751.25987922419</v>
      </c>
      <c r="J112" s="476">
        <f t="shared" si="35"/>
        <v>0</v>
      </c>
      <c r="K112" s="476"/>
      <c r="L112" s="485"/>
      <c r="M112" s="476">
        <f t="shared" si="57"/>
        <v>0</v>
      </c>
      <c r="N112" s="485"/>
      <c r="O112" s="476">
        <f t="shared" si="39"/>
        <v>0</v>
      </c>
      <c r="P112" s="476">
        <f t="shared" si="40"/>
        <v>0</v>
      </c>
    </row>
    <row r="113" spans="2:16" ht="12.5">
      <c r="B113" s="160" t="str">
        <f t="shared" si="34"/>
        <v/>
      </c>
      <c r="C113" s="470">
        <f>IF(D93="","-",+C112+1)</f>
        <v>2027</v>
      </c>
      <c r="D113" s="345">
        <f>IF(F112+SUM(E$99:E112)=D$92,F112,D$92-SUM(E$99:E112))</f>
        <v>699868</v>
      </c>
      <c r="E113" s="482">
        <f t="shared" si="52"/>
        <v>27251</v>
      </c>
      <c r="F113" s="483">
        <f t="shared" si="53"/>
        <v>672617</v>
      </c>
      <c r="G113" s="483">
        <f t="shared" si="54"/>
        <v>686242.5</v>
      </c>
      <c r="H113" s="484">
        <f t="shared" si="55"/>
        <v>105638.45845640992</v>
      </c>
      <c r="I113" s="540">
        <f t="shared" si="56"/>
        <v>105638.45845640992</v>
      </c>
      <c r="J113" s="476">
        <f t="shared" si="35"/>
        <v>0</v>
      </c>
      <c r="K113" s="476"/>
      <c r="L113" s="485"/>
      <c r="M113" s="476">
        <f t="shared" si="57"/>
        <v>0</v>
      </c>
      <c r="N113" s="485"/>
      <c r="O113" s="476">
        <f t="shared" si="39"/>
        <v>0</v>
      </c>
      <c r="P113" s="476">
        <f t="shared" si="40"/>
        <v>0</v>
      </c>
    </row>
    <row r="114" spans="2:16" ht="12.5">
      <c r="B114" s="160" t="str">
        <f t="shared" si="34"/>
        <v/>
      </c>
      <c r="C114" s="470">
        <f>IF(D93="","-",+C113+1)</f>
        <v>2028</v>
      </c>
      <c r="D114" s="345">
        <f>IF(F113+SUM(E$99:E113)=D$92,F113,D$92-SUM(E$99:E113))</f>
        <v>672617</v>
      </c>
      <c r="E114" s="482">
        <f t="shared" si="52"/>
        <v>27251</v>
      </c>
      <c r="F114" s="483">
        <f t="shared" si="53"/>
        <v>645366</v>
      </c>
      <c r="G114" s="483">
        <f t="shared" si="54"/>
        <v>658991.5</v>
      </c>
      <c r="H114" s="484">
        <f t="shared" si="55"/>
        <v>102525.65703359563</v>
      </c>
      <c r="I114" s="540">
        <f t="shared" si="56"/>
        <v>102525.65703359563</v>
      </c>
      <c r="J114" s="476">
        <f t="shared" si="35"/>
        <v>0</v>
      </c>
      <c r="K114" s="476"/>
      <c r="L114" s="485"/>
      <c r="M114" s="476">
        <f t="shared" si="57"/>
        <v>0</v>
      </c>
      <c r="N114" s="485"/>
      <c r="O114" s="476">
        <f t="shared" si="39"/>
        <v>0</v>
      </c>
      <c r="P114" s="476">
        <f t="shared" si="40"/>
        <v>0</v>
      </c>
    </row>
    <row r="115" spans="2:16" ht="12.5">
      <c r="B115" s="160" t="str">
        <f t="shared" si="34"/>
        <v/>
      </c>
      <c r="C115" s="470">
        <f>IF(D93="","-",+C114+1)</f>
        <v>2029</v>
      </c>
      <c r="D115" s="345">
        <f>IF(F114+SUM(E$99:E114)=D$92,F114,D$92-SUM(E$99:E114))</f>
        <v>645366</v>
      </c>
      <c r="E115" s="482">
        <f t="shared" si="52"/>
        <v>27251</v>
      </c>
      <c r="F115" s="483">
        <f t="shared" si="53"/>
        <v>618115</v>
      </c>
      <c r="G115" s="483">
        <f t="shared" si="54"/>
        <v>631740.5</v>
      </c>
      <c r="H115" s="484">
        <f t="shared" si="55"/>
        <v>99412.855610781364</v>
      </c>
      <c r="I115" s="540">
        <f t="shared" si="56"/>
        <v>99412.855610781364</v>
      </c>
      <c r="J115" s="476">
        <f t="shared" si="35"/>
        <v>0</v>
      </c>
      <c r="K115" s="476"/>
      <c r="L115" s="485"/>
      <c r="M115" s="476">
        <f t="shared" si="57"/>
        <v>0</v>
      </c>
      <c r="N115" s="485"/>
      <c r="O115" s="476">
        <f t="shared" si="39"/>
        <v>0</v>
      </c>
      <c r="P115" s="476">
        <f t="shared" si="40"/>
        <v>0</v>
      </c>
    </row>
    <row r="116" spans="2:16" ht="12.5">
      <c r="B116" s="160" t="str">
        <f t="shared" si="34"/>
        <v/>
      </c>
      <c r="C116" s="470">
        <f>IF(D93="","-",+C115+1)</f>
        <v>2030</v>
      </c>
      <c r="D116" s="345">
        <f>IF(F115+SUM(E$99:E115)=D$92,F115,D$92-SUM(E$99:E115))</f>
        <v>618115</v>
      </c>
      <c r="E116" s="482">
        <f t="shared" si="52"/>
        <v>27251</v>
      </c>
      <c r="F116" s="483">
        <f t="shared" si="53"/>
        <v>590864</v>
      </c>
      <c r="G116" s="483">
        <f t="shared" si="54"/>
        <v>604489.5</v>
      </c>
      <c r="H116" s="484">
        <f t="shared" si="55"/>
        <v>96300.054187967078</v>
      </c>
      <c r="I116" s="540">
        <f t="shared" si="56"/>
        <v>96300.054187967078</v>
      </c>
      <c r="J116" s="476">
        <f t="shared" si="35"/>
        <v>0</v>
      </c>
      <c r="K116" s="476"/>
      <c r="L116" s="485"/>
      <c r="M116" s="476">
        <f t="shared" si="57"/>
        <v>0</v>
      </c>
      <c r="N116" s="485"/>
      <c r="O116" s="476">
        <f t="shared" si="39"/>
        <v>0</v>
      </c>
      <c r="P116" s="476">
        <f t="shared" si="40"/>
        <v>0</v>
      </c>
    </row>
    <row r="117" spans="2:16" ht="12.5">
      <c r="B117" s="160" t="str">
        <f t="shared" si="34"/>
        <v/>
      </c>
      <c r="C117" s="470">
        <f>IF(D93="","-",+C116+1)</f>
        <v>2031</v>
      </c>
      <c r="D117" s="345">
        <f>IF(F116+SUM(E$99:E116)=D$92,F116,D$92-SUM(E$99:E116))</f>
        <v>590864</v>
      </c>
      <c r="E117" s="482">
        <f t="shared" si="52"/>
        <v>27251</v>
      </c>
      <c r="F117" s="483">
        <f t="shared" si="53"/>
        <v>563613</v>
      </c>
      <c r="G117" s="483">
        <f t="shared" si="54"/>
        <v>577238.5</v>
      </c>
      <c r="H117" s="484">
        <f t="shared" si="55"/>
        <v>93187.252765152807</v>
      </c>
      <c r="I117" s="540">
        <f t="shared" si="56"/>
        <v>93187.252765152807</v>
      </c>
      <c r="J117" s="476">
        <f t="shared" si="35"/>
        <v>0</v>
      </c>
      <c r="K117" s="476"/>
      <c r="L117" s="485"/>
      <c r="M117" s="476">
        <f t="shared" si="57"/>
        <v>0</v>
      </c>
      <c r="N117" s="485"/>
      <c r="O117" s="476">
        <f t="shared" si="39"/>
        <v>0</v>
      </c>
      <c r="P117" s="476">
        <f t="shared" si="40"/>
        <v>0</v>
      </c>
    </row>
    <row r="118" spans="2:16" ht="12.5">
      <c r="B118" s="160" t="str">
        <f t="shared" si="34"/>
        <v/>
      </c>
      <c r="C118" s="470">
        <f>IF(D93="","-",+C117+1)</f>
        <v>2032</v>
      </c>
      <c r="D118" s="345">
        <f>IF(F117+SUM(E$99:E117)=D$92,F117,D$92-SUM(E$99:E117))</f>
        <v>563613</v>
      </c>
      <c r="E118" s="482">
        <f t="shared" si="52"/>
        <v>27251</v>
      </c>
      <c r="F118" s="483">
        <f t="shared" si="53"/>
        <v>536362</v>
      </c>
      <c r="G118" s="483">
        <f t="shared" si="54"/>
        <v>549987.5</v>
      </c>
      <c r="H118" s="484">
        <f t="shared" si="55"/>
        <v>90074.451342338521</v>
      </c>
      <c r="I118" s="540">
        <f t="shared" si="56"/>
        <v>90074.451342338521</v>
      </c>
      <c r="J118" s="476">
        <f t="shared" si="35"/>
        <v>0</v>
      </c>
      <c r="K118" s="476"/>
      <c r="L118" s="485"/>
      <c r="M118" s="476">
        <f t="shared" si="57"/>
        <v>0</v>
      </c>
      <c r="N118" s="485"/>
      <c r="O118" s="476">
        <f t="shared" si="39"/>
        <v>0</v>
      </c>
      <c r="P118" s="476">
        <f t="shared" si="40"/>
        <v>0</v>
      </c>
    </row>
    <row r="119" spans="2:16" ht="12.5">
      <c r="B119" s="160" t="str">
        <f t="shared" si="34"/>
        <v/>
      </c>
      <c r="C119" s="470">
        <f>IF(D93="","-",+C118+1)</f>
        <v>2033</v>
      </c>
      <c r="D119" s="345">
        <f>IF(F118+SUM(E$99:E118)=D$92,F118,D$92-SUM(E$99:E118))</f>
        <v>536362</v>
      </c>
      <c r="E119" s="482">
        <f t="shared" si="52"/>
        <v>27251</v>
      </c>
      <c r="F119" s="483">
        <f t="shared" si="53"/>
        <v>509111</v>
      </c>
      <c r="G119" s="483">
        <f t="shared" si="54"/>
        <v>522736.5</v>
      </c>
      <c r="H119" s="484">
        <f t="shared" si="55"/>
        <v>86961.64991952425</v>
      </c>
      <c r="I119" s="540">
        <f t="shared" si="56"/>
        <v>86961.64991952425</v>
      </c>
      <c r="J119" s="476">
        <f t="shared" si="35"/>
        <v>0</v>
      </c>
      <c r="K119" s="476"/>
      <c r="L119" s="485"/>
      <c r="M119" s="476">
        <f t="shared" si="57"/>
        <v>0</v>
      </c>
      <c r="N119" s="485"/>
      <c r="O119" s="476">
        <f t="shared" si="39"/>
        <v>0</v>
      </c>
      <c r="P119" s="476">
        <f t="shared" si="40"/>
        <v>0</v>
      </c>
    </row>
    <row r="120" spans="2:16" ht="12.5">
      <c r="B120" s="160" t="str">
        <f t="shared" si="34"/>
        <v/>
      </c>
      <c r="C120" s="470">
        <f>IF(D93="","-",+C119+1)</f>
        <v>2034</v>
      </c>
      <c r="D120" s="345">
        <f>IF(F119+SUM(E$99:E119)=D$92,F119,D$92-SUM(E$99:E119))</f>
        <v>509111</v>
      </c>
      <c r="E120" s="482">
        <f t="shared" si="52"/>
        <v>27251</v>
      </c>
      <c r="F120" s="483">
        <f t="shared" si="53"/>
        <v>481860</v>
      </c>
      <c r="G120" s="483">
        <f t="shared" si="54"/>
        <v>495485.5</v>
      </c>
      <c r="H120" s="484">
        <f t="shared" si="55"/>
        <v>83848.848496709979</v>
      </c>
      <c r="I120" s="540">
        <f t="shared" si="56"/>
        <v>83848.848496709979</v>
      </c>
      <c r="J120" s="476">
        <f t="shared" si="35"/>
        <v>0</v>
      </c>
      <c r="K120" s="476"/>
      <c r="L120" s="485"/>
      <c r="M120" s="476">
        <f t="shared" si="57"/>
        <v>0</v>
      </c>
      <c r="N120" s="485"/>
      <c r="O120" s="476">
        <f t="shared" si="39"/>
        <v>0</v>
      </c>
      <c r="P120" s="476">
        <f t="shared" si="40"/>
        <v>0</v>
      </c>
    </row>
    <row r="121" spans="2:16" ht="12.5">
      <c r="B121" s="160" t="str">
        <f t="shared" si="34"/>
        <v/>
      </c>
      <c r="C121" s="470">
        <f>IF(D93="","-",+C120+1)</f>
        <v>2035</v>
      </c>
      <c r="D121" s="345">
        <f>IF(F120+SUM(E$99:E120)=D$92,F120,D$92-SUM(E$99:E120))</f>
        <v>481860</v>
      </c>
      <c r="E121" s="482">
        <f t="shared" si="52"/>
        <v>27251</v>
      </c>
      <c r="F121" s="483">
        <f t="shared" si="53"/>
        <v>454609</v>
      </c>
      <c r="G121" s="483">
        <f t="shared" si="54"/>
        <v>468234.5</v>
      </c>
      <c r="H121" s="484">
        <f t="shared" si="55"/>
        <v>80736.047073895694</v>
      </c>
      <c r="I121" s="540">
        <f t="shared" si="56"/>
        <v>80736.047073895694</v>
      </c>
      <c r="J121" s="476">
        <f t="shared" si="35"/>
        <v>0</v>
      </c>
      <c r="K121" s="476"/>
      <c r="L121" s="485"/>
      <c r="M121" s="476">
        <f t="shared" si="57"/>
        <v>0</v>
      </c>
      <c r="N121" s="485"/>
      <c r="O121" s="476">
        <f t="shared" si="39"/>
        <v>0</v>
      </c>
      <c r="P121" s="476">
        <f t="shared" si="40"/>
        <v>0</v>
      </c>
    </row>
    <row r="122" spans="2:16" ht="12.5">
      <c r="B122" s="160" t="str">
        <f t="shared" si="34"/>
        <v/>
      </c>
      <c r="C122" s="470">
        <f>IF(D93="","-",+C121+1)</f>
        <v>2036</v>
      </c>
      <c r="D122" s="345">
        <f>IF(F121+SUM(E$99:E121)=D$92,F121,D$92-SUM(E$99:E121))</f>
        <v>454609</v>
      </c>
      <c r="E122" s="482">
        <f t="shared" si="52"/>
        <v>27251</v>
      </c>
      <c r="F122" s="483">
        <f t="shared" si="53"/>
        <v>427358</v>
      </c>
      <c r="G122" s="483">
        <f t="shared" si="54"/>
        <v>440983.5</v>
      </c>
      <c r="H122" s="484">
        <f t="shared" si="55"/>
        <v>77623.245651081423</v>
      </c>
      <c r="I122" s="540">
        <f t="shared" si="56"/>
        <v>77623.245651081423</v>
      </c>
      <c r="J122" s="476">
        <f t="shared" si="35"/>
        <v>0</v>
      </c>
      <c r="K122" s="476"/>
      <c r="L122" s="485"/>
      <c r="M122" s="476">
        <f t="shared" si="57"/>
        <v>0</v>
      </c>
      <c r="N122" s="485"/>
      <c r="O122" s="476">
        <f t="shared" si="39"/>
        <v>0</v>
      </c>
      <c r="P122" s="476">
        <f t="shared" si="40"/>
        <v>0</v>
      </c>
    </row>
    <row r="123" spans="2:16" ht="12.5">
      <c r="B123" s="160" t="str">
        <f t="shared" si="34"/>
        <v/>
      </c>
      <c r="C123" s="470">
        <f>IF(D93="","-",+C122+1)</f>
        <v>2037</v>
      </c>
      <c r="D123" s="345">
        <f>IF(F122+SUM(E$99:E122)=D$92,F122,D$92-SUM(E$99:E122))</f>
        <v>427358</v>
      </c>
      <c r="E123" s="482">
        <f t="shared" si="52"/>
        <v>27251</v>
      </c>
      <c r="F123" s="483">
        <f t="shared" si="53"/>
        <v>400107</v>
      </c>
      <c r="G123" s="483">
        <f t="shared" si="54"/>
        <v>413732.5</v>
      </c>
      <c r="H123" s="484">
        <f t="shared" si="55"/>
        <v>74510.444228267152</v>
      </c>
      <c r="I123" s="540">
        <f t="shared" si="56"/>
        <v>74510.444228267152</v>
      </c>
      <c r="J123" s="476">
        <f t="shared" si="35"/>
        <v>0</v>
      </c>
      <c r="K123" s="476"/>
      <c r="L123" s="485"/>
      <c r="M123" s="476">
        <f t="shared" si="57"/>
        <v>0</v>
      </c>
      <c r="N123" s="485"/>
      <c r="O123" s="476">
        <f t="shared" si="39"/>
        <v>0</v>
      </c>
      <c r="P123" s="476">
        <f t="shared" si="40"/>
        <v>0</v>
      </c>
    </row>
    <row r="124" spans="2:16" ht="12.5">
      <c r="B124" s="160" t="str">
        <f t="shared" si="34"/>
        <v/>
      </c>
      <c r="C124" s="470">
        <f>IF(D93="","-",+C123+1)</f>
        <v>2038</v>
      </c>
      <c r="D124" s="345">
        <f>IF(F123+SUM(E$99:E123)=D$92,F123,D$92-SUM(E$99:E123))</f>
        <v>400107</v>
      </c>
      <c r="E124" s="482">
        <f t="shared" si="52"/>
        <v>27251</v>
      </c>
      <c r="F124" s="483">
        <f t="shared" si="53"/>
        <v>372856</v>
      </c>
      <c r="G124" s="483">
        <f t="shared" si="54"/>
        <v>386481.5</v>
      </c>
      <c r="H124" s="484">
        <f t="shared" si="55"/>
        <v>71397.642805452866</v>
      </c>
      <c r="I124" s="540">
        <f t="shared" si="56"/>
        <v>71397.642805452866</v>
      </c>
      <c r="J124" s="476">
        <f t="shared" si="35"/>
        <v>0</v>
      </c>
      <c r="K124" s="476"/>
      <c r="L124" s="485"/>
      <c r="M124" s="476">
        <f t="shared" si="57"/>
        <v>0</v>
      </c>
      <c r="N124" s="485"/>
      <c r="O124" s="476">
        <f t="shared" si="39"/>
        <v>0</v>
      </c>
      <c r="P124" s="476">
        <f t="shared" si="40"/>
        <v>0</v>
      </c>
    </row>
    <row r="125" spans="2:16" ht="12.5">
      <c r="B125" s="160" t="str">
        <f t="shared" si="34"/>
        <v/>
      </c>
      <c r="C125" s="470">
        <f>IF(D93="","-",+C124+1)</f>
        <v>2039</v>
      </c>
      <c r="D125" s="345">
        <f>IF(F124+SUM(E$99:E124)=D$92,F124,D$92-SUM(E$99:E124))</f>
        <v>372856</v>
      </c>
      <c r="E125" s="482">
        <f t="shared" si="52"/>
        <v>27251</v>
      </c>
      <c r="F125" s="483">
        <f t="shared" si="53"/>
        <v>345605</v>
      </c>
      <c r="G125" s="483">
        <f t="shared" si="54"/>
        <v>359230.5</v>
      </c>
      <c r="H125" s="484">
        <f t="shared" si="55"/>
        <v>68284.84138263858</v>
      </c>
      <c r="I125" s="540">
        <f t="shared" si="56"/>
        <v>68284.84138263858</v>
      </c>
      <c r="J125" s="476">
        <f t="shared" si="35"/>
        <v>0</v>
      </c>
      <c r="K125" s="476"/>
      <c r="L125" s="485"/>
      <c r="M125" s="476">
        <f t="shared" si="57"/>
        <v>0</v>
      </c>
      <c r="N125" s="485"/>
      <c r="O125" s="476">
        <f t="shared" si="39"/>
        <v>0</v>
      </c>
      <c r="P125" s="476">
        <f t="shared" si="40"/>
        <v>0</v>
      </c>
    </row>
    <row r="126" spans="2:16" ht="12.5">
      <c r="B126" s="160" t="str">
        <f t="shared" si="34"/>
        <v/>
      </c>
      <c r="C126" s="470">
        <f>IF(D93="","-",+C125+1)</f>
        <v>2040</v>
      </c>
      <c r="D126" s="345">
        <f>IF(F125+SUM(E$99:E125)=D$92,F125,D$92-SUM(E$99:E125))</f>
        <v>345605</v>
      </c>
      <c r="E126" s="482">
        <f t="shared" si="52"/>
        <v>27251</v>
      </c>
      <c r="F126" s="483">
        <f t="shared" si="53"/>
        <v>318354</v>
      </c>
      <c r="G126" s="483">
        <f t="shared" si="54"/>
        <v>331979.5</v>
      </c>
      <c r="H126" s="484">
        <f t="shared" si="55"/>
        <v>65172.039959824309</v>
      </c>
      <c r="I126" s="540">
        <f t="shared" si="56"/>
        <v>65172.039959824309</v>
      </c>
      <c r="J126" s="476">
        <f t="shared" si="35"/>
        <v>0</v>
      </c>
      <c r="K126" s="476"/>
      <c r="L126" s="485"/>
      <c r="M126" s="476">
        <f t="shared" si="57"/>
        <v>0</v>
      </c>
      <c r="N126" s="485"/>
      <c r="O126" s="476">
        <f t="shared" si="39"/>
        <v>0</v>
      </c>
      <c r="P126" s="476">
        <f t="shared" si="40"/>
        <v>0</v>
      </c>
    </row>
    <row r="127" spans="2:16" ht="12.5">
      <c r="B127" s="160" t="str">
        <f t="shared" si="34"/>
        <v/>
      </c>
      <c r="C127" s="470">
        <f>IF(D93="","-",+C126+1)</f>
        <v>2041</v>
      </c>
      <c r="D127" s="345">
        <f>IF(F126+SUM(E$99:E126)=D$92,F126,D$92-SUM(E$99:E126))</f>
        <v>318354</v>
      </c>
      <c r="E127" s="482">
        <f t="shared" si="52"/>
        <v>27251</v>
      </c>
      <c r="F127" s="483">
        <f t="shared" si="53"/>
        <v>291103</v>
      </c>
      <c r="G127" s="483">
        <f t="shared" si="54"/>
        <v>304728.5</v>
      </c>
      <c r="H127" s="484">
        <f t="shared" si="55"/>
        <v>62059.238537010031</v>
      </c>
      <c r="I127" s="540">
        <f t="shared" si="56"/>
        <v>62059.238537010031</v>
      </c>
      <c r="J127" s="476">
        <f t="shared" si="35"/>
        <v>0</v>
      </c>
      <c r="K127" s="476"/>
      <c r="L127" s="485"/>
      <c r="M127" s="476">
        <f t="shared" si="57"/>
        <v>0</v>
      </c>
      <c r="N127" s="485"/>
      <c r="O127" s="476">
        <f t="shared" si="39"/>
        <v>0</v>
      </c>
      <c r="P127" s="476">
        <f t="shared" si="40"/>
        <v>0</v>
      </c>
    </row>
    <row r="128" spans="2:16" ht="12.5">
      <c r="B128" s="160" t="str">
        <f t="shared" si="34"/>
        <v/>
      </c>
      <c r="C128" s="470">
        <f>IF(D93="","-",+C127+1)</f>
        <v>2042</v>
      </c>
      <c r="D128" s="345">
        <f>IF(F127+SUM(E$99:E127)=D$92,F127,D$92-SUM(E$99:E127))</f>
        <v>291103</v>
      </c>
      <c r="E128" s="482">
        <f t="shared" si="52"/>
        <v>27251</v>
      </c>
      <c r="F128" s="483">
        <f t="shared" si="53"/>
        <v>263852</v>
      </c>
      <c r="G128" s="483">
        <f t="shared" si="54"/>
        <v>277477.5</v>
      </c>
      <c r="H128" s="484">
        <f t="shared" si="55"/>
        <v>58946.437114195753</v>
      </c>
      <c r="I128" s="540">
        <f t="shared" si="56"/>
        <v>58946.437114195753</v>
      </c>
      <c r="J128" s="476">
        <f t="shared" si="35"/>
        <v>0</v>
      </c>
      <c r="K128" s="476"/>
      <c r="L128" s="485"/>
      <c r="M128" s="476">
        <f t="shared" si="57"/>
        <v>0</v>
      </c>
      <c r="N128" s="485"/>
      <c r="O128" s="476">
        <f t="shared" si="39"/>
        <v>0</v>
      </c>
      <c r="P128" s="476">
        <f t="shared" si="40"/>
        <v>0</v>
      </c>
    </row>
    <row r="129" spans="2:16" ht="12.5">
      <c r="B129" s="160" t="str">
        <f t="shared" si="34"/>
        <v/>
      </c>
      <c r="C129" s="470">
        <f>IF(D93="","-",+C128+1)</f>
        <v>2043</v>
      </c>
      <c r="D129" s="345">
        <f>IF(F128+SUM(E$99:E128)=D$92,F128,D$92-SUM(E$99:E128))</f>
        <v>263852</v>
      </c>
      <c r="E129" s="482">
        <f t="shared" si="52"/>
        <v>27251</v>
      </c>
      <c r="F129" s="483">
        <f t="shared" si="53"/>
        <v>236601</v>
      </c>
      <c r="G129" s="483">
        <f t="shared" si="54"/>
        <v>250226.5</v>
      </c>
      <c r="H129" s="484">
        <f t="shared" si="55"/>
        <v>55833.635691381482</v>
      </c>
      <c r="I129" s="540">
        <f t="shared" si="56"/>
        <v>55833.635691381482</v>
      </c>
      <c r="J129" s="476">
        <f t="shared" si="35"/>
        <v>0</v>
      </c>
      <c r="K129" s="476"/>
      <c r="L129" s="485"/>
      <c r="M129" s="476">
        <f t="shared" si="57"/>
        <v>0</v>
      </c>
      <c r="N129" s="485"/>
      <c r="O129" s="476">
        <f t="shared" si="39"/>
        <v>0</v>
      </c>
      <c r="P129" s="476">
        <f t="shared" si="40"/>
        <v>0</v>
      </c>
    </row>
    <row r="130" spans="2:16" ht="12.5">
      <c r="B130" s="160" t="str">
        <f t="shared" si="34"/>
        <v/>
      </c>
      <c r="C130" s="470">
        <f>IF(D93="","-",+C129+1)</f>
        <v>2044</v>
      </c>
      <c r="D130" s="345">
        <f>IF(F129+SUM(E$99:E129)=D$92,F129,D$92-SUM(E$99:E129))</f>
        <v>236601</v>
      </c>
      <c r="E130" s="482">
        <f t="shared" si="52"/>
        <v>27251</v>
      </c>
      <c r="F130" s="483">
        <f t="shared" si="53"/>
        <v>209350</v>
      </c>
      <c r="G130" s="483">
        <f t="shared" si="54"/>
        <v>222975.5</v>
      </c>
      <c r="H130" s="484">
        <f t="shared" si="55"/>
        <v>52720.834268567203</v>
      </c>
      <c r="I130" s="540">
        <f t="shared" si="56"/>
        <v>52720.834268567203</v>
      </c>
      <c r="J130" s="476">
        <f t="shared" si="35"/>
        <v>0</v>
      </c>
      <c r="K130" s="476"/>
      <c r="L130" s="485"/>
      <c r="M130" s="476">
        <f t="shared" si="57"/>
        <v>0</v>
      </c>
      <c r="N130" s="485"/>
      <c r="O130" s="476">
        <f t="shared" si="39"/>
        <v>0</v>
      </c>
      <c r="P130" s="476">
        <f t="shared" si="40"/>
        <v>0</v>
      </c>
    </row>
    <row r="131" spans="2:16" ht="12.5">
      <c r="B131" s="160" t="str">
        <f t="shared" si="34"/>
        <v/>
      </c>
      <c r="C131" s="470">
        <f>IF(D93="","-",+C130+1)</f>
        <v>2045</v>
      </c>
      <c r="D131" s="345">
        <f>IF(F130+SUM(E$99:E130)=D$92,F130,D$92-SUM(E$99:E130))</f>
        <v>209350</v>
      </c>
      <c r="E131" s="482">
        <f t="shared" si="52"/>
        <v>27251</v>
      </c>
      <c r="F131" s="483">
        <f t="shared" si="53"/>
        <v>182099</v>
      </c>
      <c r="G131" s="483">
        <f t="shared" si="54"/>
        <v>195724.5</v>
      </c>
      <c r="H131" s="484">
        <f t="shared" si="55"/>
        <v>49608.032845752925</v>
      </c>
      <c r="I131" s="540">
        <f t="shared" si="56"/>
        <v>49608.032845752925</v>
      </c>
      <c r="J131" s="476">
        <f t="shared" si="35"/>
        <v>0</v>
      </c>
      <c r="K131" s="476"/>
      <c r="L131" s="485"/>
      <c r="M131" s="476">
        <f t="shared" ref="M131:M154" si="58">IF(L541&lt;&gt;0,+H541-L541,0)</f>
        <v>0</v>
      </c>
      <c r="N131" s="485"/>
      <c r="O131" s="476">
        <f t="shared" ref="O131:O154" si="59">IF(N541&lt;&gt;0,+I541-N541,0)</f>
        <v>0</v>
      </c>
      <c r="P131" s="476">
        <f t="shared" ref="P131:P154" si="60">+O541-M541</f>
        <v>0</v>
      </c>
    </row>
    <row r="132" spans="2:16" ht="12.5">
      <c r="B132" s="160" t="str">
        <f t="shared" si="34"/>
        <v/>
      </c>
      <c r="C132" s="470">
        <f>IF(D93="","-",+C131+1)</f>
        <v>2046</v>
      </c>
      <c r="D132" s="345">
        <f>IF(F131+SUM(E$99:E131)=D$92,F131,D$92-SUM(E$99:E131))</f>
        <v>182099</v>
      </c>
      <c r="E132" s="482">
        <f t="shared" si="52"/>
        <v>27251</v>
      </c>
      <c r="F132" s="483">
        <f t="shared" si="53"/>
        <v>154848</v>
      </c>
      <c r="G132" s="483">
        <f t="shared" si="54"/>
        <v>168473.5</v>
      </c>
      <c r="H132" s="484">
        <f t="shared" si="55"/>
        <v>46495.231422938654</v>
      </c>
      <c r="I132" s="540">
        <f t="shared" si="56"/>
        <v>46495.231422938654</v>
      </c>
      <c r="J132" s="476">
        <f t="shared" si="35"/>
        <v>0</v>
      </c>
      <c r="K132" s="476"/>
      <c r="L132" s="485"/>
      <c r="M132" s="476">
        <f t="shared" si="58"/>
        <v>0</v>
      </c>
      <c r="N132" s="485"/>
      <c r="O132" s="476">
        <f t="shared" si="59"/>
        <v>0</v>
      </c>
      <c r="P132" s="476">
        <f t="shared" si="60"/>
        <v>0</v>
      </c>
    </row>
    <row r="133" spans="2:16" ht="12.5">
      <c r="B133" s="160" t="str">
        <f t="shared" si="34"/>
        <v/>
      </c>
      <c r="C133" s="470">
        <f>IF(D93="","-",+C132+1)</f>
        <v>2047</v>
      </c>
      <c r="D133" s="345">
        <f>IF(F132+SUM(E$99:E132)=D$92,F132,D$92-SUM(E$99:E132))</f>
        <v>154848</v>
      </c>
      <c r="E133" s="482">
        <f t="shared" si="52"/>
        <v>27251</v>
      </c>
      <c r="F133" s="483">
        <f t="shared" si="53"/>
        <v>127597</v>
      </c>
      <c r="G133" s="483">
        <f t="shared" si="54"/>
        <v>141222.5</v>
      </c>
      <c r="H133" s="484">
        <f t="shared" si="55"/>
        <v>43382.430000124368</v>
      </c>
      <c r="I133" s="540">
        <f t="shared" si="56"/>
        <v>43382.430000124368</v>
      </c>
      <c r="J133" s="476">
        <f t="shared" si="35"/>
        <v>0</v>
      </c>
      <c r="K133" s="476"/>
      <c r="L133" s="485"/>
      <c r="M133" s="476">
        <f t="shared" si="58"/>
        <v>0</v>
      </c>
      <c r="N133" s="485"/>
      <c r="O133" s="476">
        <f t="shared" si="59"/>
        <v>0</v>
      </c>
      <c r="P133" s="476">
        <f t="shared" si="60"/>
        <v>0</v>
      </c>
    </row>
    <row r="134" spans="2:16" ht="12.5">
      <c r="B134" s="160" t="str">
        <f t="shared" si="34"/>
        <v/>
      </c>
      <c r="C134" s="470">
        <f>IF(D93="","-",+C133+1)</f>
        <v>2048</v>
      </c>
      <c r="D134" s="345">
        <f>IF(F133+SUM(E$99:E133)=D$92,F133,D$92-SUM(E$99:E133))</f>
        <v>127597</v>
      </c>
      <c r="E134" s="482">
        <f t="shared" si="52"/>
        <v>27251</v>
      </c>
      <c r="F134" s="483">
        <f t="shared" si="53"/>
        <v>100346</v>
      </c>
      <c r="G134" s="483">
        <f t="shared" si="54"/>
        <v>113971.5</v>
      </c>
      <c r="H134" s="484">
        <f t="shared" si="55"/>
        <v>40269.628577310097</v>
      </c>
      <c r="I134" s="540">
        <f t="shared" si="56"/>
        <v>40269.628577310097</v>
      </c>
      <c r="J134" s="476">
        <f t="shared" si="35"/>
        <v>0</v>
      </c>
      <c r="K134" s="476"/>
      <c r="L134" s="485"/>
      <c r="M134" s="476">
        <f t="shared" si="58"/>
        <v>0</v>
      </c>
      <c r="N134" s="485"/>
      <c r="O134" s="476">
        <f t="shared" si="59"/>
        <v>0</v>
      </c>
      <c r="P134" s="476">
        <f t="shared" si="60"/>
        <v>0</v>
      </c>
    </row>
    <row r="135" spans="2:16" ht="12.5">
      <c r="B135" s="160" t="str">
        <f t="shared" si="34"/>
        <v/>
      </c>
      <c r="C135" s="470">
        <f>IF(D93="","-",+C134+1)</f>
        <v>2049</v>
      </c>
      <c r="D135" s="345">
        <f>IF(F134+SUM(E$99:E134)=D$92,F134,D$92-SUM(E$99:E134))</f>
        <v>100346</v>
      </c>
      <c r="E135" s="482">
        <f t="shared" si="52"/>
        <v>27251</v>
      </c>
      <c r="F135" s="483">
        <f t="shared" si="53"/>
        <v>73095</v>
      </c>
      <c r="G135" s="483">
        <f t="shared" si="54"/>
        <v>86720.5</v>
      </c>
      <c r="H135" s="484">
        <f t="shared" si="55"/>
        <v>37156.827154495819</v>
      </c>
      <c r="I135" s="540">
        <f t="shared" si="56"/>
        <v>37156.827154495819</v>
      </c>
      <c r="J135" s="476">
        <f t="shared" si="35"/>
        <v>0</v>
      </c>
      <c r="K135" s="476"/>
      <c r="L135" s="485"/>
      <c r="M135" s="476">
        <f t="shared" si="58"/>
        <v>0</v>
      </c>
      <c r="N135" s="485"/>
      <c r="O135" s="476">
        <f t="shared" si="59"/>
        <v>0</v>
      </c>
      <c r="P135" s="476">
        <f t="shared" si="60"/>
        <v>0</v>
      </c>
    </row>
    <row r="136" spans="2:16" ht="12.5">
      <c r="B136" s="160" t="str">
        <f t="shared" si="34"/>
        <v/>
      </c>
      <c r="C136" s="470">
        <f>IF(D93="","-",+C135+1)</f>
        <v>2050</v>
      </c>
      <c r="D136" s="345">
        <f>IF(F135+SUM(E$99:E135)=D$92,F135,D$92-SUM(E$99:E135))</f>
        <v>73095</v>
      </c>
      <c r="E136" s="482">
        <f t="shared" si="52"/>
        <v>27251</v>
      </c>
      <c r="F136" s="483">
        <f t="shared" si="53"/>
        <v>45844</v>
      </c>
      <c r="G136" s="483">
        <f t="shared" si="54"/>
        <v>59469.5</v>
      </c>
      <c r="H136" s="484">
        <f t="shared" si="55"/>
        <v>34044.02573168154</v>
      </c>
      <c r="I136" s="540">
        <f t="shared" si="56"/>
        <v>34044.02573168154</v>
      </c>
      <c r="J136" s="476">
        <f t="shared" si="35"/>
        <v>0</v>
      </c>
      <c r="K136" s="476"/>
      <c r="L136" s="485"/>
      <c r="M136" s="476">
        <f t="shared" si="58"/>
        <v>0</v>
      </c>
      <c r="N136" s="485"/>
      <c r="O136" s="476">
        <f t="shared" si="59"/>
        <v>0</v>
      </c>
      <c r="P136" s="476">
        <f t="shared" si="60"/>
        <v>0</v>
      </c>
    </row>
    <row r="137" spans="2:16" ht="12.5">
      <c r="B137" s="160" t="str">
        <f t="shared" si="34"/>
        <v/>
      </c>
      <c r="C137" s="470">
        <f>IF(D93="","-",+C136+1)</f>
        <v>2051</v>
      </c>
      <c r="D137" s="345">
        <f>IF(F136+SUM(E$99:E136)=D$92,F136,D$92-SUM(E$99:E136))</f>
        <v>45844</v>
      </c>
      <c r="E137" s="482">
        <f t="shared" si="52"/>
        <v>27251</v>
      </c>
      <c r="F137" s="483">
        <f t="shared" si="53"/>
        <v>18593</v>
      </c>
      <c r="G137" s="483">
        <f t="shared" si="54"/>
        <v>32218.5</v>
      </c>
      <c r="H137" s="484">
        <f t="shared" si="55"/>
        <v>30931.224308867262</v>
      </c>
      <c r="I137" s="540">
        <f t="shared" si="56"/>
        <v>30931.224308867262</v>
      </c>
      <c r="J137" s="476">
        <f t="shared" si="35"/>
        <v>0</v>
      </c>
      <c r="K137" s="476"/>
      <c r="L137" s="485"/>
      <c r="M137" s="476">
        <f t="shared" si="58"/>
        <v>0</v>
      </c>
      <c r="N137" s="485"/>
      <c r="O137" s="476">
        <f t="shared" si="59"/>
        <v>0</v>
      </c>
      <c r="P137" s="476">
        <f t="shared" si="60"/>
        <v>0</v>
      </c>
    </row>
    <row r="138" spans="2:16" ht="12.5">
      <c r="B138" s="160" t="str">
        <f t="shared" si="34"/>
        <v/>
      </c>
      <c r="C138" s="470">
        <f>IF(D93="","-",+C137+1)</f>
        <v>2052</v>
      </c>
      <c r="D138" s="345">
        <f>IF(F137+SUM(E$99:E137)=D$92,F137,D$92-SUM(E$99:E137))</f>
        <v>18593</v>
      </c>
      <c r="E138" s="482">
        <f t="shared" si="52"/>
        <v>18593</v>
      </c>
      <c r="F138" s="483">
        <f t="shared" si="53"/>
        <v>0</v>
      </c>
      <c r="G138" s="483">
        <f t="shared" si="54"/>
        <v>9296.5</v>
      </c>
      <c r="H138" s="484">
        <f t="shared" si="55"/>
        <v>19654.911798730063</v>
      </c>
      <c r="I138" s="540">
        <f t="shared" si="56"/>
        <v>19654.911798730063</v>
      </c>
      <c r="J138" s="476">
        <f t="shared" si="35"/>
        <v>0</v>
      </c>
      <c r="K138" s="476"/>
      <c r="L138" s="485"/>
      <c r="M138" s="476">
        <f t="shared" si="58"/>
        <v>0</v>
      </c>
      <c r="N138" s="485"/>
      <c r="O138" s="476">
        <f t="shared" si="59"/>
        <v>0</v>
      </c>
      <c r="P138" s="476">
        <f t="shared" si="60"/>
        <v>0</v>
      </c>
    </row>
    <row r="139" spans="2:16" ht="12.5">
      <c r="B139" s="160" t="str">
        <f t="shared" si="34"/>
        <v/>
      </c>
      <c r="C139" s="470">
        <f>IF(D93="","-",+C138+1)</f>
        <v>2053</v>
      </c>
      <c r="D139" s="345">
        <f>IF(F138+SUM(E$99:E138)=D$92,F138,D$92-SUM(E$99:E138))</f>
        <v>0</v>
      </c>
      <c r="E139" s="482">
        <f t="shared" si="52"/>
        <v>0</v>
      </c>
      <c r="F139" s="483">
        <f t="shared" si="53"/>
        <v>0</v>
      </c>
      <c r="G139" s="483">
        <f t="shared" si="54"/>
        <v>0</v>
      </c>
      <c r="H139" s="484">
        <f t="shared" si="55"/>
        <v>0</v>
      </c>
      <c r="I139" s="540">
        <f t="shared" si="56"/>
        <v>0</v>
      </c>
      <c r="J139" s="476">
        <f t="shared" si="35"/>
        <v>0</v>
      </c>
      <c r="K139" s="476"/>
      <c r="L139" s="485"/>
      <c r="M139" s="476">
        <f t="shared" si="58"/>
        <v>0</v>
      </c>
      <c r="N139" s="485"/>
      <c r="O139" s="476">
        <f t="shared" si="59"/>
        <v>0</v>
      </c>
      <c r="P139" s="476">
        <f t="shared" si="60"/>
        <v>0</v>
      </c>
    </row>
    <row r="140" spans="2:16" ht="12.5">
      <c r="B140" s="160" t="str">
        <f t="shared" si="34"/>
        <v/>
      </c>
      <c r="C140" s="470">
        <f>IF(D93="","-",+C139+1)</f>
        <v>2054</v>
      </c>
      <c r="D140" s="345">
        <f>IF(F139+SUM(E$99:E139)=D$92,F139,D$92-SUM(E$99:E139))</f>
        <v>0</v>
      </c>
      <c r="E140" s="482">
        <f t="shared" si="52"/>
        <v>0</v>
      </c>
      <c r="F140" s="483">
        <f t="shared" si="53"/>
        <v>0</v>
      </c>
      <c r="G140" s="483">
        <f t="shared" si="54"/>
        <v>0</v>
      </c>
      <c r="H140" s="484">
        <f t="shared" si="55"/>
        <v>0</v>
      </c>
      <c r="I140" s="540">
        <f t="shared" si="56"/>
        <v>0</v>
      </c>
      <c r="J140" s="476">
        <f t="shared" si="35"/>
        <v>0</v>
      </c>
      <c r="K140" s="476"/>
      <c r="L140" s="485"/>
      <c r="M140" s="476">
        <f t="shared" si="58"/>
        <v>0</v>
      </c>
      <c r="N140" s="485"/>
      <c r="O140" s="476">
        <f t="shared" si="59"/>
        <v>0</v>
      </c>
      <c r="P140" s="476">
        <f t="shared" si="60"/>
        <v>0</v>
      </c>
    </row>
    <row r="141" spans="2:16" ht="12.5">
      <c r="B141" s="160" t="str">
        <f t="shared" si="34"/>
        <v/>
      </c>
      <c r="C141" s="470">
        <f>IF(D93="","-",+C140+1)</f>
        <v>2055</v>
      </c>
      <c r="D141" s="345">
        <f>IF(F140+SUM(E$99:E140)=D$92,F140,D$92-SUM(E$99:E140))</f>
        <v>0</v>
      </c>
      <c r="E141" s="482">
        <f t="shared" si="52"/>
        <v>0</v>
      </c>
      <c r="F141" s="483">
        <f t="shared" si="53"/>
        <v>0</v>
      </c>
      <c r="G141" s="483">
        <f t="shared" si="54"/>
        <v>0</v>
      </c>
      <c r="H141" s="484">
        <f t="shared" si="55"/>
        <v>0</v>
      </c>
      <c r="I141" s="540">
        <f t="shared" si="56"/>
        <v>0</v>
      </c>
      <c r="J141" s="476">
        <f t="shared" si="35"/>
        <v>0</v>
      </c>
      <c r="K141" s="476"/>
      <c r="L141" s="485"/>
      <c r="M141" s="476">
        <f t="shared" si="58"/>
        <v>0</v>
      </c>
      <c r="N141" s="485"/>
      <c r="O141" s="476">
        <f t="shared" si="59"/>
        <v>0</v>
      </c>
      <c r="P141" s="476">
        <f t="shared" si="60"/>
        <v>0</v>
      </c>
    </row>
    <row r="142" spans="2:16" ht="12.5">
      <c r="B142" s="160" t="str">
        <f t="shared" si="34"/>
        <v/>
      </c>
      <c r="C142" s="470">
        <f>IF(D93="","-",+C141+1)</f>
        <v>2056</v>
      </c>
      <c r="D142" s="345">
        <f>IF(F141+SUM(E$99:E141)=D$92,F141,D$92-SUM(E$99:E141))</f>
        <v>0</v>
      </c>
      <c r="E142" s="482">
        <f t="shared" si="52"/>
        <v>0</v>
      </c>
      <c r="F142" s="483">
        <f t="shared" si="53"/>
        <v>0</v>
      </c>
      <c r="G142" s="483">
        <f t="shared" si="54"/>
        <v>0</v>
      </c>
      <c r="H142" s="484">
        <f t="shared" si="55"/>
        <v>0</v>
      </c>
      <c r="I142" s="540">
        <f t="shared" si="56"/>
        <v>0</v>
      </c>
      <c r="J142" s="476">
        <f t="shared" si="35"/>
        <v>0</v>
      </c>
      <c r="K142" s="476"/>
      <c r="L142" s="485"/>
      <c r="M142" s="476">
        <f t="shared" si="58"/>
        <v>0</v>
      </c>
      <c r="N142" s="485"/>
      <c r="O142" s="476">
        <f t="shared" si="59"/>
        <v>0</v>
      </c>
      <c r="P142" s="476">
        <f t="shared" si="60"/>
        <v>0</v>
      </c>
    </row>
    <row r="143" spans="2:16" ht="12.5">
      <c r="B143" s="160" t="str">
        <f t="shared" si="34"/>
        <v/>
      </c>
      <c r="C143" s="470">
        <f>IF(D93="","-",+C142+1)</f>
        <v>2057</v>
      </c>
      <c r="D143" s="345">
        <f>IF(F142+SUM(E$99:E142)=D$92,F142,D$92-SUM(E$99:E142))</f>
        <v>0</v>
      </c>
      <c r="E143" s="482">
        <f t="shared" si="52"/>
        <v>0</v>
      </c>
      <c r="F143" s="483">
        <f t="shared" si="53"/>
        <v>0</v>
      </c>
      <c r="G143" s="483">
        <f t="shared" si="54"/>
        <v>0</v>
      </c>
      <c r="H143" s="484">
        <f t="shared" si="55"/>
        <v>0</v>
      </c>
      <c r="I143" s="540">
        <f t="shared" si="56"/>
        <v>0</v>
      </c>
      <c r="J143" s="476">
        <f t="shared" si="35"/>
        <v>0</v>
      </c>
      <c r="K143" s="476"/>
      <c r="L143" s="485"/>
      <c r="M143" s="476">
        <f t="shared" si="58"/>
        <v>0</v>
      </c>
      <c r="N143" s="485"/>
      <c r="O143" s="476">
        <f t="shared" si="59"/>
        <v>0</v>
      </c>
      <c r="P143" s="476">
        <f t="shared" si="60"/>
        <v>0</v>
      </c>
    </row>
    <row r="144" spans="2:16" ht="12.5">
      <c r="B144" s="160" t="str">
        <f t="shared" si="34"/>
        <v/>
      </c>
      <c r="C144" s="470">
        <f>IF(D93="","-",+C143+1)</f>
        <v>2058</v>
      </c>
      <c r="D144" s="345">
        <f>IF(F143+SUM(E$99:E143)=D$92,F143,D$92-SUM(E$99:E143))</f>
        <v>0</v>
      </c>
      <c r="E144" s="482">
        <f t="shared" si="52"/>
        <v>0</v>
      </c>
      <c r="F144" s="483">
        <f t="shared" si="53"/>
        <v>0</v>
      </c>
      <c r="G144" s="483">
        <f t="shared" si="54"/>
        <v>0</v>
      </c>
      <c r="H144" s="484">
        <f t="shared" si="55"/>
        <v>0</v>
      </c>
      <c r="I144" s="540">
        <f t="shared" si="56"/>
        <v>0</v>
      </c>
      <c r="J144" s="476">
        <f t="shared" si="35"/>
        <v>0</v>
      </c>
      <c r="K144" s="476"/>
      <c r="L144" s="485"/>
      <c r="M144" s="476">
        <f t="shared" si="58"/>
        <v>0</v>
      </c>
      <c r="N144" s="485"/>
      <c r="O144" s="476">
        <f t="shared" si="59"/>
        <v>0</v>
      </c>
      <c r="P144" s="476">
        <f t="shared" si="60"/>
        <v>0</v>
      </c>
    </row>
    <row r="145" spans="2:16" ht="12.5">
      <c r="B145" s="160" t="str">
        <f t="shared" si="34"/>
        <v/>
      </c>
      <c r="C145" s="470">
        <f>IF(D93="","-",+C144+1)</f>
        <v>2059</v>
      </c>
      <c r="D145" s="345">
        <f>IF(F144+SUM(E$99:E144)=D$92,F144,D$92-SUM(E$99:E144))</f>
        <v>0</v>
      </c>
      <c r="E145" s="482">
        <f t="shared" si="52"/>
        <v>0</v>
      </c>
      <c r="F145" s="483">
        <f t="shared" si="53"/>
        <v>0</v>
      </c>
      <c r="G145" s="483">
        <f t="shared" si="54"/>
        <v>0</v>
      </c>
      <c r="H145" s="484">
        <f t="shared" si="55"/>
        <v>0</v>
      </c>
      <c r="I145" s="540">
        <f t="shared" si="56"/>
        <v>0</v>
      </c>
      <c r="J145" s="476">
        <f t="shared" si="35"/>
        <v>0</v>
      </c>
      <c r="K145" s="476"/>
      <c r="L145" s="485"/>
      <c r="M145" s="476">
        <f t="shared" si="58"/>
        <v>0</v>
      </c>
      <c r="N145" s="485"/>
      <c r="O145" s="476">
        <f t="shared" si="59"/>
        <v>0</v>
      </c>
      <c r="P145" s="476">
        <f t="shared" si="60"/>
        <v>0</v>
      </c>
    </row>
    <row r="146" spans="2:16" ht="12.5">
      <c r="B146" s="160" t="str">
        <f t="shared" si="34"/>
        <v/>
      </c>
      <c r="C146" s="470">
        <f>IF(D93="","-",+C145+1)</f>
        <v>2060</v>
      </c>
      <c r="D146" s="345">
        <f>IF(F145+SUM(E$99:E145)=D$92,F145,D$92-SUM(E$99:E145))</f>
        <v>0</v>
      </c>
      <c r="E146" s="482">
        <f t="shared" si="52"/>
        <v>0</v>
      </c>
      <c r="F146" s="483">
        <f t="shared" si="53"/>
        <v>0</v>
      </c>
      <c r="G146" s="483">
        <f t="shared" si="54"/>
        <v>0</v>
      </c>
      <c r="H146" s="484">
        <f t="shared" si="55"/>
        <v>0</v>
      </c>
      <c r="I146" s="540">
        <f t="shared" si="56"/>
        <v>0</v>
      </c>
      <c r="J146" s="476">
        <f t="shared" si="35"/>
        <v>0</v>
      </c>
      <c r="K146" s="476"/>
      <c r="L146" s="485"/>
      <c r="M146" s="476">
        <f t="shared" si="58"/>
        <v>0</v>
      </c>
      <c r="N146" s="485"/>
      <c r="O146" s="476">
        <f t="shared" si="59"/>
        <v>0</v>
      </c>
      <c r="P146" s="476">
        <f t="shared" si="60"/>
        <v>0</v>
      </c>
    </row>
    <row r="147" spans="2:16" ht="12.5">
      <c r="B147" s="160" t="str">
        <f t="shared" si="34"/>
        <v/>
      </c>
      <c r="C147" s="470">
        <f>IF(D93="","-",+C146+1)</f>
        <v>2061</v>
      </c>
      <c r="D147" s="345">
        <f>IF(F146+SUM(E$99:E146)=D$92,F146,D$92-SUM(E$99:E146))</f>
        <v>0</v>
      </c>
      <c r="E147" s="482">
        <f t="shared" si="52"/>
        <v>0</v>
      </c>
      <c r="F147" s="483">
        <f t="shared" si="53"/>
        <v>0</v>
      </c>
      <c r="G147" s="483">
        <f t="shared" si="54"/>
        <v>0</v>
      </c>
      <c r="H147" s="484">
        <f t="shared" si="55"/>
        <v>0</v>
      </c>
      <c r="I147" s="540">
        <f t="shared" si="56"/>
        <v>0</v>
      </c>
      <c r="J147" s="476">
        <f t="shared" si="35"/>
        <v>0</v>
      </c>
      <c r="K147" s="476"/>
      <c r="L147" s="485"/>
      <c r="M147" s="476">
        <f t="shared" si="58"/>
        <v>0</v>
      </c>
      <c r="N147" s="485"/>
      <c r="O147" s="476">
        <f t="shared" si="59"/>
        <v>0</v>
      </c>
      <c r="P147" s="476">
        <f t="shared" si="60"/>
        <v>0</v>
      </c>
    </row>
    <row r="148" spans="2:16" ht="12.5">
      <c r="B148" s="160" t="str">
        <f t="shared" si="34"/>
        <v/>
      </c>
      <c r="C148" s="470">
        <f>IF(D93="","-",+C147+1)</f>
        <v>2062</v>
      </c>
      <c r="D148" s="345">
        <f>IF(F147+SUM(E$99:E147)=D$92,F147,D$92-SUM(E$99:E147))</f>
        <v>0</v>
      </c>
      <c r="E148" s="482">
        <f t="shared" si="52"/>
        <v>0</v>
      </c>
      <c r="F148" s="483">
        <f t="shared" si="53"/>
        <v>0</v>
      </c>
      <c r="G148" s="483">
        <f t="shared" si="54"/>
        <v>0</v>
      </c>
      <c r="H148" s="484">
        <f t="shared" si="55"/>
        <v>0</v>
      </c>
      <c r="I148" s="540">
        <f t="shared" si="56"/>
        <v>0</v>
      </c>
      <c r="J148" s="476">
        <f t="shared" si="35"/>
        <v>0</v>
      </c>
      <c r="K148" s="476"/>
      <c r="L148" s="485"/>
      <c r="M148" s="476">
        <f t="shared" si="58"/>
        <v>0</v>
      </c>
      <c r="N148" s="485"/>
      <c r="O148" s="476">
        <f t="shared" si="59"/>
        <v>0</v>
      </c>
      <c r="P148" s="476">
        <f t="shared" si="60"/>
        <v>0</v>
      </c>
    </row>
    <row r="149" spans="2:16" ht="12.5">
      <c r="B149" s="160" t="str">
        <f t="shared" si="34"/>
        <v/>
      </c>
      <c r="C149" s="470">
        <f>IF(D93="","-",+C148+1)</f>
        <v>2063</v>
      </c>
      <c r="D149" s="345">
        <f>IF(F148+SUM(E$99:E148)=D$92,F148,D$92-SUM(E$99:E148))</f>
        <v>0</v>
      </c>
      <c r="E149" s="482">
        <f t="shared" si="52"/>
        <v>0</v>
      </c>
      <c r="F149" s="483">
        <f t="shared" si="53"/>
        <v>0</v>
      </c>
      <c r="G149" s="483">
        <f t="shared" si="54"/>
        <v>0</v>
      </c>
      <c r="H149" s="484">
        <f t="shared" si="55"/>
        <v>0</v>
      </c>
      <c r="I149" s="540">
        <f t="shared" si="56"/>
        <v>0</v>
      </c>
      <c r="J149" s="476">
        <f t="shared" si="35"/>
        <v>0</v>
      </c>
      <c r="K149" s="476"/>
      <c r="L149" s="485"/>
      <c r="M149" s="476">
        <f t="shared" si="58"/>
        <v>0</v>
      </c>
      <c r="N149" s="485"/>
      <c r="O149" s="476">
        <f t="shared" si="59"/>
        <v>0</v>
      </c>
      <c r="P149" s="476">
        <f t="shared" si="60"/>
        <v>0</v>
      </c>
    </row>
    <row r="150" spans="2:16" ht="12.5">
      <c r="B150" s="160" t="str">
        <f t="shared" si="34"/>
        <v/>
      </c>
      <c r="C150" s="470">
        <f>IF(D93="","-",+C149+1)</f>
        <v>2064</v>
      </c>
      <c r="D150" s="345">
        <f>IF(F149+SUM(E$99:E149)=D$92,F149,D$92-SUM(E$99:E149))</f>
        <v>0</v>
      </c>
      <c r="E150" s="482">
        <f t="shared" si="52"/>
        <v>0</v>
      </c>
      <c r="F150" s="483">
        <f t="shared" si="53"/>
        <v>0</v>
      </c>
      <c r="G150" s="483">
        <f t="shared" si="54"/>
        <v>0</v>
      </c>
      <c r="H150" s="484">
        <f t="shared" si="55"/>
        <v>0</v>
      </c>
      <c r="I150" s="540">
        <f t="shared" si="56"/>
        <v>0</v>
      </c>
      <c r="J150" s="476">
        <f t="shared" si="35"/>
        <v>0</v>
      </c>
      <c r="K150" s="476"/>
      <c r="L150" s="485"/>
      <c r="M150" s="476">
        <f t="shared" si="58"/>
        <v>0</v>
      </c>
      <c r="N150" s="485"/>
      <c r="O150" s="476">
        <f t="shared" si="59"/>
        <v>0</v>
      </c>
      <c r="P150" s="476">
        <f t="shared" si="60"/>
        <v>0</v>
      </c>
    </row>
    <row r="151" spans="2:16" ht="12.5">
      <c r="B151" s="160" t="str">
        <f t="shared" si="34"/>
        <v/>
      </c>
      <c r="C151" s="470">
        <f>IF(D93="","-",+C150+1)</f>
        <v>2065</v>
      </c>
      <c r="D151" s="345">
        <f>IF(F150+SUM(E$99:E150)=D$92,F150,D$92-SUM(E$99:E150))</f>
        <v>0</v>
      </c>
      <c r="E151" s="482">
        <f t="shared" si="52"/>
        <v>0</v>
      </c>
      <c r="F151" s="483">
        <f t="shared" si="53"/>
        <v>0</v>
      </c>
      <c r="G151" s="483">
        <f t="shared" si="54"/>
        <v>0</v>
      </c>
      <c r="H151" s="484">
        <f t="shared" si="55"/>
        <v>0</v>
      </c>
      <c r="I151" s="540">
        <f t="shared" si="56"/>
        <v>0</v>
      </c>
      <c r="J151" s="476">
        <f t="shared" si="35"/>
        <v>0</v>
      </c>
      <c r="K151" s="476"/>
      <c r="L151" s="485"/>
      <c r="M151" s="476">
        <f t="shared" si="58"/>
        <v>0</v>
      </c>
      <c r="N151" s="485"/>
      <c r="O151" s="476">
        <f t="shared" si="59"/>
        <v>0</v>
      </c>
      <c r="P151" s="476">
        <f t="shared" si="60"/>
        <v>0</v>
      </c>
    </row>
    <row r="152" spans="2:16" ht="12.5">
      <c r="B152" s="160" t="str">
        <f t="shared" si="34"/>
        <v/>
      </c>
      <c r="C152" s="470">
        <f>IF(D93="","-",+C151+1)</f>
        <v>2066</v>
      </c>
      <c r="D152" s="345">
        <f>IF(F151+SUM(E$99:E151)=D$92,F151,D$92-SUM(E$99:E151))</f>
        <v>0</v>
      </c>
      <c r="E152" s="482">
        <f t="shared" si="52"/>
        <v>0</v>
      </c>
      <c r="F152" s="483">
        <f t="shared" si="53"/>
        <v>0</v>
      </c>
      <c r="G152" s="483">
        <f t="shared" si="54"/>
        <v>0</v>
      </c>
      <c r="H152" s="484">
        <f t="shared" si="55"/>
        <v>0</v>
      </c>
      <c r="I152" s="540">
        <f t="shared" si="56"/>
        <v>0</v>
      </c>
      <c r="J152" s="476">
        <f t="shared" si="35"/>
        <v>0</v>
      </c>
      <c r="K152" s="476"/>
      <c r="L152" s="485"/>
      <c r="M152" s="476">
        <f t="shared" si="58"/>
        <v>0</v>
      </c>
      <c r="N152" s="485"/>
      <c r="O152" s="476">
        <f t="shared" si="59"/>
        <v>0</v>
      </c>
      <c r="P152" s="476">
        <f t="shared" si="60"/>
        <v>0</v>
      </c>
    </row>
    <row r="153" spans="2:16" ht="12.5">
      <c r="B153" s="160" t="str">
        <f t="shared" si="34"/>
        <v/>
      </c>
      <c r="C153" s="470">
        <f>IF(D93="","-",+C152+1)</f>
        <v>2067</v>
      </c>
      <c r="D153" s="345">
        <f>IF(F152+SUM(E$99:E152)=D$92,F152,D$92-SUM(E$99:E152))</f>
        <v>0</v>
      </c>
      <c r="E153" s="482">
        <f t="shared" si="52"/>
        <v>0</v>
      </c>
      <c r="F153" s="483">
        <f t="shared" si="53"/>
        <v>0</v>
      </c>
      <c r="G153" s="483">
        <f t="shared" si="54"/>
        <v>0</v>
      </c>
      <c r="H153" s="486">
        <f t="shared" ref="H153:H154" si="61">+J$94*G153+E153</f>
        <v>0</v>
      </c>
      <c r="I153" s="540">
        <f t="shared" ref="I153:I154" si="62">+J$95*G153+E153</f>
        <v>0</v>
      </c>
      <c r="J153" s="476">
        <f t="shared" si="35"/>
        <v>0</v>
      </c>
      <c r="K153" s="476"/>
      <c r="L153" s="485"/>
      <c r="M153" s="476">
        <f t="shared" si="58"/>
        <v>0</v>
      </c>
      <c r="N153" s="485"/>
      <c r="O153" s="476">
        <f t="shared" si="59"/>
        <v>0</v>
      </c>
      <c r="P153" s="476">
        <f t="shared" si="60"/>
        <v>0</v>
      </c>
    </row>
    <row r="154" spans="2:16" ht="13" thickBot="1">
      <c r="B154" s="160" t="str">
        <f t="shared" si="34"/>
        <v/>
      </c>
      <c r="C154" s="487">
        <f>IF(D93="","-",+C153+1)</f>
        <v>2068</v>
      </c>
      <c r="D154" s="574">
        <f>IF(F153+SUM(E$99:E153)=D$92,F153,D$92-SUM(E$99:E153))</f>
        <v>0</v>
      </c>
      <c r="E154" s="489">
        <f t="shared" si="52"/>
        <v>0</v>
      </c>
      <c r="F154" s="488">
        <f t="shared" si="53"/>
        <v>0</v>
      </c>
      <c r="G154" s="488">
        <f t="shared" si="54"/>
        <v>0</v>
      </c>
      <c r="H154" s="490">
        <f t="shared" si="61"/>
        <v>0</v>
      </c>
      <c r="I154" s="543">
        <f t="shared" si="62"/>
        <v>0</v>
      </c>
      <c r="J154" s="493">
        <f t="shared" si="35"/>
        <v>0</v>
      </c>
      <c r="K154" s="493"/>
      <c r="L154" s="492"/>
      <c r="M154" s="493">
        <f t="shared" si="58"/>
        <v>0</v>
      </c>
      <c r="N154" s="492"/>
      <c r="O154" s="493">
        <f t="shared" si="59"/>
        <v>0</v>
      </c>
      <c r="P154" s="493">
        <f t="shared" si="60"/>
        <v>0</v>
      </c>
    </row>
    <row r="155" spans="2:16" ht="12.5">
      <c r="C155" s="345" t="s">
        <v>77</v>
      </c>
      <c r="D155" s="346"/>
      <c r="E155" s="346">
        <f>SUM(E99:E154)</f>
        <v>1035552</v>
      </c>
      <c r="F155" s="346"/>
      <c r="G155" s="346"/>
      <c r="H155" s="346">
        <f>SUM(H99:H154)</f>
        <v>3476936.1981379292</v>
      </c>
      <c r="I155" s="346">
        <f>SUM(I99:I154)</f>
        <v>3476936.1981379292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7" priority="1" stopIfTrue="1" operator="equal">
      <formula>$I$10</formula>
    </cfRule>
  </conditionalFormatting>
  <conditionalFormatting sqref="C99:C154">
    <cfRule type="cellIs" dxfId="3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4"/>
  <dimension ref="A1:P162"/>
  <sheetViews>
    <sheetView topLeftCell="A5" zoomScaleNormal="100" zoomScaleSheetLayoutView="80" workbookViewId="0">
      <selection activeCell="D93" sqref="D9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15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266683.87179487181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266683.87179487181</v>
      </c>
      <c r="O6" s="231"/>
      <c r="P6" s="231"/>
    </row>
    <row r="7" spans="1:16" ht="13.5" thickBot="1">
      <c r="C7" s="429" t="s">
        <v>46</v>
      </c>
      <c r="D7" s="597" t="s">
        <v>250</v>
      </c>
      <c r="E7" s="598"/>
      <c r="F7" s="598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249</v>
      </c>
      <c r="E9" s="575" t="s">
        <v>258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2246629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2014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57605.871794871797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2014</v>
      </c>
      <c r="D17" s="582">
        <v>2295000</v>
      </c>
      <c r="E17" s="605">
        <v>36778.846153846156</v>
      </c>
      <c r="F17" s="582">
        <v>2258221.153846154</v>
      </c>
      <c r="G17" s="605">
        <v>347642.78736560291</v>
      </c>
      <c r="H17" s="585">
        <v>347642.78736560291</v>
      </c>
      <c r="I17" s="473">
        <v>0</v>
      </c>
      <c r="J17" s="473"/>
      <c r="K17" s="474">
        <f t="shared" ref="K17:K22" si="0">G17</f>
        <v>347642.78736560291</v>
      </c>
      <c r="L17" s="601">
        <f t="shared" ref="L17:L22" si="1">IF(K17&lt;&gt;0,+G17-K17,0)</f>
        <v>0</v>
      </c>
      <c r="M17" s="474">
        <f t="shared" ref="M17:M22" si="2">H17</f>
        <v>347642.78736560291</v>
      </c>
      <c r="N17" s="476">
        <f>IF(M17&lt;&gt;0,+H17-M17,0)</f>
        <v>0</v>
      </c>
      <c r="O17" s="473">
        <f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2015</v>
      </c>
      <c r="D18" s="582">
        <v>2258221.153846154</v>
      </c>
      <c r="E18" s="583">
        <v>43204.395576923074</v>
      </c>
      <c r="F18" s="582">
        <v>2215016.7582692308</v>
      </c>
      <c r="G18" s="583">
        <v>348592.42580485216</v>
      </c>
      <c r="H18" s="585">
        <v>348592.42580485216</v>
      </c>
      <c r="I18" s="473">
        <v>0</v>
      </c>
      <c r="J18" s="473"/>
      <c r="K18" s="474">
        <f t="shared" si="0"/>
        <v>348592.42580485216</v>
      </c>
      <c r="L18" s="601">
        <f t="shared" si="1"/>
        <v>0</v>
      </c>
      <c r="M18" s="474">
        <f t="shared" si="2"/>
        <v>348592.42580485216</v>
      </c>
      <c r="N18" s="476">
        <f>IF(M18&lt;&gt;0,+H18-M18,0)</f>
        <v>0</v>
      </c>
      <c r="O18" s="473">
        <f>+N18-L18</f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2016</v>
      </c>
      <c r="D19" s="582">
        <v>2166645.3282692307</v>
      </c>
      <c r="E19" s="583">
        <v>43204.395576923074</v>
      </c>
      <c r="F19" s="582">
        <v>2123440.9326923075</v>
      </c>
      <c r="G19" s="583">
        <v>321714.3955769231</v>
      </c>
      <c r="H19" s="585">
        <v>321714.3955769231</v>
      </c>
      <c r="I19" s="473">
        <f>H19-G19</f>
        <v>0</v>
      </c>
      <c r="J19" s="473"/>
      <c r="K19" s="474">
        <f t="shared" si="0"/>
        <v>321714.3955769231</v>
      </c>
      <c r="L19" s="601">
        <f t="shared" si="1"/>
        <v>0</v>
      </c>
      <c r="M19" s="474">
        <f t="shared" si="2"/>
        <v>321714.3955769231</v>
      </c>
      <c r="N19" s="476">
        <f>IF(M19&lt;&gt;0,+H19-M19,0)</f>
        <v>0</v>
      </c>
      <c r="O19" s="473">
        <f>+N19-L19</f>
        <v>0</v>
      </c>
      <c r="P19" s="241"/>
    </row>
    <row r="20" spans="2:16" ht="12.5">
      <c r="B20" s="160" t="str">
        <f t="shared" ref="B20:B72" si="3">IF(D20=F19,"","IU")</f>
        <v/>
      </c>
      <c r="C20" s="470">
        <f>IF(D11="","-",+C19+1)</f>
        <v>2017</v>
      </c>
      <c r="D20" s="582">
        <v>2123440.9326923075</v>
      </c>
      <c r="E20" s="583">
        <v>48839.751521739126</v>
      </c>
      <c r="F20" s="582">
        <v>2074601.1811705683</v>
      </c>
      <c r="G20" s="583">
        <v>312854.75152173912</v>
      </c>
      <c r="H20" s="585">
        <v>312854.75152173912</v>
      </c>
      <c r="I20" s="473">
        <f t="shared" ref="I20:I72" si="4">H20-G20</f>
        <v>0</v>
      </c>
      <c r="J20" s="473"/>
      <c r="K20" s="474">
        <f t="shared" si="0"/>
        <v>312854.75152173912</v>
      </c>
      <c r="L20" s="601">
        <f t="shared" si="1"/>
        <v>0</v>
      </c>
      <c r="M20" s="474">
        <f t="shared" si="2"/>
        <v>312854.75152173912</v>
      </c>
      <c r="N20" s="476">
        <f>IF(M20&lt;&gt;0,+H20-M20,0)</f>
        <v>0</v>
      </c>
      <c r="O20" s="473">
        <f>+N20-L20</f>
        <v>0</v>
      </c>
      <c r="P20" s="241"/>
    </row>
    <row r="21" spans="2:16" ht="12.5">
      <c r="B21" s="160" t="str">
        <f t="shared" si="3"/>
        <v/>
      </c>
      <c r="C21" s="470">
        <f>IF(D11="","-",+C20+1)</f>
        <v>2018</v>
      </c>
      <c r="D21" s="582">
        <v>2074601.1811705683</v>
      </c>
      <c r="E21" s="583">
        <v>49925.079333333328</v>
      </c>
      <c r="F21" s="582">
        <v>2024676.101837235</v>
      </c>
      <c r="G21" s="583">
        <v>295387.63187355472</v>
      </c>
      <c r="H21" s="585">
        <v>295387.63187355472</v>
      </c>
      <c r="I21" s="473">
        <f t="shared" si="4"/>
        <v>0</v>
      </c>
      <c r="J21" s="473"/>
      <c r="K21" s="474">
        <f t="shared" si="0"/>
        <v>295387.63187355472</v>
      </c>
      <c r="L21" s="601">
        <f t="shared" si="1"/>
        <v>0</v>
      </c>
      <c r="M21" s="474">
        <f t="shared" si="2"/>
        <v>295387.63187355472</v>
      </c>
      <c r="N21" s="476">
        <f>IF(M21&lt;&gt;0,+H21-M21,0)</f>
        <v>0</v>
      </c>
      <c r="O21" s="473">
        <f>+N21-L21</f>
        <v>0</v>
      </c>
      <c r="P21" s="241"/>
    </row>
    <row r="22" spans="2:16" ht="12.5">
      <c r="B22" s="160" t="str">
        <f t="shared" si="3"/>
        <v/>
      </c>
      <c r="C22" s="470">
        <f>IF(D11="","-",+C21+1)</f>
        <v>2019</v>
      </c>
      <c r="D22" s="582">
        <v>2024676.101837235</v>
      </c>
      <c r="E22" s="583">
        <v>56165.714249999997</v>
      </c>
      <c r="F22" s="582">
        <v>1968510.3875872351</v>
      </c>
      <c r="G22" s="583">
        <v>279098.59002601594</v>
      </c>
      <c r="H22" s="585">
        <v>279098.59002601594</v>
      </c>
      <c r="I22" s="473">
        <f t="shared" si="4"/>
        <v>0</v>
      </c>
      <c r="J22" s="473"/>
      <c r="K22" s="474">
        <f t="shared" si="0"/>
        <v>279098.59002601594</v>
      </c>
      <c r="L22" s="601">
        <f t="shared" si="1"/>
        <v>0</v>
      </c>
      <c r="M22" s="474">
        <f t="shared" si="2"/>
        <v>279098.59002601594</v>
      </c>
      <c r="N22" s="476">
        <f t="shared" ref="N22:N72" si="5">IF(M22&lt;&gt;0,+H22-M22,0)</f>
        <v>0</v>
      </c>
      <c r="O22" s="476">
        <f t="shared" ref="O22:O72" si="6">+N22-L22</f>
        <v>0</v>
      </c>
      <c r="P22" s="241"/>
    </row>
    <row r="23" spans="2:16" ht="12.5">
      <c r="B23" s="160" t="str">
        <f t="shared" si="3"/>
        <v>IU</v>
      </c>
      <c r="C23" s="470">
        <f>IF(D11="","-",+C22+1)</f>
        <v>2020</v>
      </c>
      <c r="D23" s="582">
        <v>1974751.0225039017</v>
      </c>
      <c r="E23" s="583">
        <v>53491.156428571427</v>
      </c>
      <c r="F23" s="582">
        <v>1921259.8660753304</v>
      </c>
      <c r="G23" s="583">
        <v>263885.04985844565</v>
      </c>
      <c r="H23" s="585">
        <v>263885.04985844565</v>
      </c>
      <c r="I23" s="473">
        <f t="shared" si="4"/>
        <v>0</v>
      </c>
      <c r="J23" s="473"/>
      <c r="K23" s="474">
        <f t="shared" ref="K23" si="7">G23</f>
        <v>263885.04985844565</v>
      </c>
      <c r="L23" s="601">
        <f t="shared" ref="L23" si="8">IF(K23&lt;&gt;0,+G23-K23,0)</f>
        <v>0</v>
      </c>
      <c r="M23" s="474">
        <f t="shared" ref="M23" si="9">H23</f>
        <v>263885.04985844565</v>
      </c>
      <c r="N23" s="476">
        <f t="shared" si="5"/>
        <v>0</v>
      </c>
      <c r="O23" s="476">
        <f t="shared" si="6"/>
        <v>0</v>
      </c>
      <c r="P23" s="241"/>
    </row>
    <row r="24" spans="2:16" ht="12.5">
      <c r="B24" s="160" t="str">
        <f t="shared" si="3"/>
        <v>IU</v>
      </c>
      <c r="C24" s="470">
        <f>IF(D11="","-",+C23+1)</f>
        <v>2021</v>
      </c>
      <c r="D24" s="582">
        <v>1915019.2311586635</v>
      </c>
      <c r="E24" s="583">
        <v>52247.176046511624</v>
      </c>
      <c r="F24" s="582">
        <v>1862772.0551121519</v>
      </c>
      <c r="G24" s="583">
        <v>253094.17604651162</v>
      </c>
      <c r="H24" s="585">
        <v>253094.17604651162</v>
      </c>
      <c r="I24" s="473">
        <f t="shared" si="4"/>
        <v>0</v>
      </c>
      <c r="J24" s="473"/>
      <c r="K24" s="474">
        <f t="shared" ref="K24" si="10">G24</f>
        <v>253094.17604651162</v>
      </c>
      <c r="L24" s="601">
        <f t="shared" ref="L24" si="11">IF(K24&lt;&gt;0,+G24-K24,0)</f>
        <v>0</v>
      </c>
      <c r="M24" s="474">
        <f t="shared" ref="M24" si="12">H24</f>
        <v>253094.17604651162</v>
      </c>
      <c r="N24" s="476">
        <f t="shared" si="5"/>
        <v>0</v>
      </c>
      <c r="O24" s="476">
        <f t="shared" si="6"/>
        <v>0</v>
      </c>
      <c r="P24" s="241"/>
    </row>
    <row r="25" spans="2:16" ht="12.5">
      <c r="B25" s="160" t="str">
        <f t="shared" si="3"/>
        <v/>
      </c>
      <c r="C25" s="470">
        <f>IF(D11="","-",+C24+1)</f>
        <v>2022</v>
      </c>
      <c r="D25" s="582">
        <v>1862772.0551121519</v>
      </c>
      <c r="E25" s="583">
        <v>53491.156428571427</v>
      </c>
      <c r="F25" s="582">
        <v>1809280.8986835806</v>
      </c>
      <c r="G25" s="583">
        <v>248552.15642857144</v>
      </c>
      <c r="H25" s="585">
        <v>248552.15642857144</v>
      </c>
      <c r="I25" s="473">
        <f t="shared" si="4"/>
        <v>0</v>
      </c>
      <c r="J25" s="473"/>
      <c r="K25" s="474">
        <f t="shared" ref="K25" si="13">G25</f>
        <v>248552.15642857144</v>
      </c>
      <c r="L25" s="601">
        <f t="shared" ref="L25" si="14">IF(K25&lt;&gt;0,+G25-K25,0)</f>
        <v>0</v>
      </c>
      <c r="M25" s="474">
        <f t="shared" ref="M25" si="15">H25</f>
        <v>248552.15642857144</v>
      </c>
      <c r="N25" s="476">
        <f t="shared" si="5"/>
        <v>0</v>
      </c>
      <c r="O25" s="476">
        <f t="shared" si="6"/>
        <v>0</v>
      </c>
      <c r="P25" s="241"/>
    </row>
    <row r="26" spans="2:16" ht="12.5">
      <c r="B26" s="160" t="str">
        <f t="shared" si="3"/>
        <v>IU</v>
      </c>
      <c r="C26" s="470">
        <f>IF(D11="","-",+C25+1)</f>
        <v>2023</v>
      </c>
      <c r="D26" s="582">
        <v>1809281.3286835807</v>
      </c>
      <c r="E26" s="583">
        <v>57605.871794871797</v>
      </c>
      <c r="F26" s="582">
        <v>1751675.456888709</v>
      </c>
      <c r="G26" s="583">
        <v>266683.87179487181</v>
      </c>
      <c r="H26" s="585">
        <v>266683.87179487181</v>
      </c>
      <c r="I26" s="473">
        <f t="shared" si="4"/>
        <v>0</v>
      </c>
      <c r="J26" s="473"/>
      <c r="K26" s="474">
        <f t="shared" ref="K26" si="16">G26</f>
        <v>266683.87179487181</v>
      </c>
      <c r="L26" s="601">
        <f t="shared" ref="L26" si="17">IF(K26&lt;&gt;0,+G26-K26,0)</f>
        <v>0</v>
      </c>
      <c r="M26" s="474">
        <f t="shared" ref="M26" si="18">H26</f>
        <v>266683.87179487181</v>
      </c>
      <c r="N26" s="476">
        <f t="shared" si="5"/>
        <v>0</v>
      </c>
      <c r="O26" s="476">
        <f t="shared" si="6"/>
        <v>0</v>
      </c>
      <c r="P26" s="241"/>
    </row>
    <row r="27" spans="2:16" ht="12.5">
      <c r="B27" s="160" t="str">
        <f t="shared" si="3"/>
        <v/>
      </c>
      <c r="C27" s="470">
        <f>IF(D11="","-",+C26+1)</f>
        <v>2024</v>
      </c>
      <c r="D27" s="483">
        <f>IF(F26+SUM(E$17:E26)=D$10,F26,D$10-SUM(E$17:E26))</f>
        <v>1751675.456888709</v>
      </c>
      <c r="E27" s="482">
        <f t="shared" ref="E27:E72" si="19">IF(+$I$14&lt;F26,$I$14,D27)</f>
        <v>57605.871794871797</v>
      </c>
      <c r="F27" s="483">
        <f t="shared" ref="F27:F72" si="20">+D27-E27</f>
        <v>1694069.5850938372</v>
      </c>
      <c r="G27" s="484">
        <f t="shared" ref="G27:G72" si="21">(D27+F27)/2*I$12+E27</f>
        <v>263246.12801581901</v>
      </c>
      <c r="H27" s="453">
        <f t="shared" ref="H27:H72" si="22">+(D27+F27)/2*I$13+E27</f>
        <v>263246.12801581901</v>
      </c>
      <c r="I27" s="473">
        <f t="shared" si="4"/>
        <v>0</v>
      </c>
      <c r="J27" s="473"/>
      <c r="K27" s="485"/>
      <c r="L27" s="476">
        <f t="shared" ref="L27:L72" si="23">IF(K27&lt;&gt;0,+G27-K27,0)</f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 ht="12.5">
      <c r="B28" s="160" t="str">
        <f t="shared" si="3"/>
        <v/>
      </c>
      <c r="C28" s="470">
        <f>IF(D11="","-",+C27+1)</f>
        <v>2025</v>
      </c>
      <c r="D28" s="483">
        <f>IF(F27+SUM(E$17:E27)=D$10,F27,D$10-SUM(E$17:E27))</f>
        <v>1694069.5850938372</v>
      </c>
      <c r="E28" s="482">
        <f t="shared" si="19"/>
        <v>57605.871794871797</v>
      </c>
      <c r="F28" s="483">
        <f t="shared" si="20"/>
        <v>1636463.7132989655</v>
      </c>
      <c r="G28" s="484">
        <f t="shared" si="21"/>
        <v>256370.3516067132</v>
      </c>
      <c r="H28" s="453">
        <f t="shared" si="22"/>
        <v>256370.3516067132</v>
      </c>
      <c r="I28" s="473">
        <f t="shared" si="4"/>
        <v>0</v>
      </c>
      <c r="J28" s="473"/>
      <c r="K28" s="485"/>
      <c r="L28" s="476">
        <f t="shared" si="23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 ht="12.5">
      <c r="B29" s="160" t="str">
        <f t="shared" si="3"/>
        <v/>
      </c>
      <c r="C29" s="470">
        <f>IF(D11="","-",+C28+1)</f>
        <v>2026</v>
      </c>
      <c r="D29" s="483">
        <f>IF(F28+SUM(E$17:E28)=D$10,F28,D$10-SUM(E$17:E28))</f>
        <v>1636463.7132989655</v>
      </c>
      <c r="E29" s="482">
        <f t="shared" si="19"/>
        <v>57605.871794871797</v>
      </c>
      <c r="F29" s="483">
        <f t="shared" si="20"/>
        <v>1578857.8415040937</v>
      </c>
      <c r="G29" s="484">
        <f t="shared" si="21"/>
        <v>249494.5751976074</v>
      </c>
      <c r="H29" s="453">
        <f t="shared" si="22"/>
        <v>249494.5751976074</v>
      </c>
      <c r="I29" s="473">
        <f t="shared" si="4"/>
        <v>0</v>
      </c>
      <c r="J29" s="473"/>
      <c r="K29" s="485"/>
      <c r="L29" s="476">
        <f t="shared" si="23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 ht="12.5">
      <c r="B30" s="160" t="str">
        <f t="shared" si="3"/>
        <v/>
      </c>
      <c r="C30" s="470">
        <f>IF(D11="","-",+C29+1)</f>
        <v>2027</v>
      </c>
      <c r="D30" s="483">
        <f>IF(F29+SUM(E$17:E29)=D$10,F29,D$10-SUM(E$17:E29))</f>
        <v>1578857.8415040937</v>
      </c>
      <c r="E30" s="482">
        <f t="shared" si="19"/>
        <v>57605.871794871797</v>
      </c>
      <c r="F30" s="483">
        <f t="shared" si="20"/>
        <v>1521251.969709222</v>
      </c>
      <c r="G30" s="484">
        <f t="shared" si="21"/>
        <v>242618.79878850153</v>
      </c>
      <c r="H30" s="453">
        <f t="shared" si="22"/>
        <v>242618.79878850153</v>
      </c>
      <c r="I30" s="473">
        <f t="shared" si="4"/>
        <v>0</v>
      </c>
      <c r="J30" s="473"/>
      <c r="K30" s="485"/>
      <c r="L30" s="476">
        <f t="shared" si="23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 ht="12.5">
      <c r="B31" s="160" t="str">
        <f t="shared" si="3"/>
        <v/>
      </c>
      <c r="C31" s="470">
        <f>IF(D11="","-",+C30+1)</f>
        <v>2028</v>
      </c>
      <c r="D31" s="483">
        <f>IF(F30+SUM(E$17:E30)=D$10,F30,D$10-SUM(E$17:E30))</f>
        <v>1521251.969709222</v>
      </c>
      <c r="E31" s="482">
        <f t="shared" si="19"/>
        <v>57605.871794871797</v>
      </c>
      <c r="F31" s="483">
        <f t="shared" si="20"/>
        <v>1463646.0979143502</v>
      </c>
      <c r="G31" s="484">
        <f t="shared" si="21"/>
        <v>235743.02237939573</v>
      </c>
      <c r="H31" s="453">
        <f t="shared" si="22"/>
        <v>235743.02237939573</v>
      </c>
      <c r="I31" s="473">
        <f t="shared" si="4"/>
        <v>0</v>
      </c>
      <c r="J31" s="473"/>
      <c r="K31" s="485"/>
      <c r="L31" s="476">
        <f t="shared" si="23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 ht="12.5">
      <c r="B32" s="160" t="str">
        <f t="shared" si="3"/>
        <v/>
      </c>
      <c r="C32" s="470">
        <f>IF(D11="","-",+C31+1)</f>
        <v>2029</v>
      </c>
      <c r="D32" s="483">
        <f>IF(F31+SUM(E$17:E31)=D$10,F31,D$10-SUM(E$17:E31))</f>
        <v>1463646.0979143502</v>
      </c>
      <c r="E32" s="482">
        <f t="shared" si="19"/>
        <v>57605.871794871797</v>
      </c>
      <c r="F32" s="483">
        <f t="shared" si="20"/>
        <v>1406040.2261194785</v>
      </c>
      <c r="G32" s="484">
        <f t="shared" si="21"/>
        <v>228867.24597028992</v>
      </c>
      <c r="H32" s="453">
        <f t="shared" si="22"/>
        <v>228867.24597028992</v>
      </c>
      <c r="I32" s="473">
        <f t="shared" si="4"/>
        <v>0</v>
      </c>
      <c r="J32" s="473"/>
      <c r="K32" s="485"/>
      <c r="L32" s="476">
        <f t="shared" si="23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 ht="12.5">
      <c r="B33" s="160" t="str">
        <f t="shared" si="3"/>
        <v/>
      </c>
      <c r="C33" s="470">
        <f>IF(D11="","-",+C32+1)</f>
        <v>2030</v>
      </c>
      <c r="D33" s="483">
        <f>IF(F32+SUM(E$17:E32)=D$10,F32,D$10-SUM(E$17:E32))</f>
        <v>1406040.2261194785</v>
      </c>
      <c r="E33" s="482">
        <f t="shared" si="19"/>
        <v>57605.871794871797</v>
      </c>
      <c r="F33" s="483">
        <f t="shared" si="20"/>
        <v>1348434.3543246067</v>
      </c>
      <c r="G33" s="484">
        <f t="shared" si="21"/>
        <v>221991.46956118412</v>
      </c>
      <c r="H33" s="453">
        <f t="shared" si="22"/>
        <v>221991.46956118412</v>
      </c>
      <c r="I33" s="473">
        <f t="shared" si="4"/>
        <v>0</v>
      </c>
      <c r="J33" s="473"/>
      <c r="K33" s="485"/>
      <c r="L33" s="476">
        <f t="shared" si="23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 ht="12.5">
      <c r="B34" s="160" t="str">
        <f t="shared" si="3"/>
        <v/>
      </c>
      <c r="C34" s="470">
        <f>IF(D11="","-",+C33+1)</f>
        <v>2031</v>
      </c>
      <c r="D34" s="483">
        <f>IF(F33+SUM(E$17:E33)=D$10,F33,D$10-SUM(E$17:E33))</f>
        <v>1348434.3543246067</v>
      </c>
      <c r="E34" s="482">
        <f t="shared" si="19"/>
        <v>57605.871794871797</v>
      </c>
      <c r="F34" s="483">
        <f t="shared" si="20"/>
        <v>1290828.482529735</v>
      </c>
      <c r="G34" s="484">
        <f t="shared" si="21"/>
        <v>215115.69315207825</v>
      </c>
      <c r="H34" s="453">
        <f t="shared" si="22"/>
        <v>215115.69315207825</v>
      </c>
      <c r="I34" s="473">
        <f t="shared" si="4"/>
        <v>0</v>
      </c>
      <c r="J34" s="473"/>
      <c r="K34" s="485"/>
      <c r="L34" s="476">
        <f t="shared" si="23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 ht="12.5">
      <c r="B35" s="160" t="str">
        <f t="shared" si="3"/>
        <v/>
      </c>
      <c r="C35" s="470">
        <f>IF(D11="","-",+C34+1)</f>
        <v>2032</v>
      </c>
      <c r="D35" s="483">
        <f>IF(F34+SUM(E$17:E34)=D$10,F34,D$10-SUM(E$17:E34))</f>
        <v>1290828.482529735</v>
      </c>
      <c r="E35" s="482">
        <f t="shared" si="19"/>
        <v>57605.871794871797</v>
      </c>
      <c r="F35" s="483">
        <f t="shared" si="20"/>
        <v>1233222.6107348632</v>
      </c>
      <c r="G35" s="484">
        <f t="shared" si="21"/>
        <v>208239.91674297251</v>
      </c>
      <c r="H35" s="453">
        <f t="shared" si="22"/>
        <v>208239.91674297251</v>
      </c>
      <c r="I35" s="473">
        <f t="shared" si="4"/>
        <v>0</v>
      </c>
      <c r="J35" s="473"/>
      <c r="K35" s="485"/>
      <c r="L35" s="476">
        <f t="shared" si="23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 ht="12.5">
      <c r="B36" s="160" t="str">
        <f t="shared" si="3"/>
        <v/>
      </c>
      <c r="C36" s="470">
        <f>IF(D11="","-",+C35+1)</f>
        <v>2033</v>
      </c>
      <c r="D36" s="483">
        <f>IF(F35+SUM(E$17:E35)=D$10,F35,D$10-SUM(E$17:E35))</f>
        <v>1233222.6107348632</v>
      </c>
      <c r="E36" s="482">
        <f t="shared" si="19"/>
        <v>57605.871794871797</v>
      </c>
      <c r="F36" s="483">
        <f t="shared" si="20"/>
        <v>1175616.7389399915</v>
      </c>
      <c r="G36" s="484">
        <f t="shared" si="21"/>
        <v>201364.14033386664</v>
      </c>
      <c r="H36" s="453">
        <f t="shared" si="22"/>
        <v>201364.14033386664</v>
      </c>
      <c r="I36" s="473">
        <f t="shared" si="4"/>
        <v>0</v>
      </c>
      <c r="J36" s="473"/>
      <c r="K36" s="485"/>
      <c r="L36" s="476">
        <f t="shared" si="23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 ht="12.5">
      <c r="B37" s="160" t="str">
        <f t="shared" si="3"/>
        <v/>
      </c>
      <c r="C37" s="470">
        <f>IF(D11="","-",+C36+1)</f>
        <v>2034</v>
      </c>
      <c r="D37" s="483">
        <f>IF(F36+SUM(E$17:E36)=D$10,F36,D$10-SUM(E$17:E36))</f>
        <v>1175616.7389399915</v>
      </c>
      <c r="E37" s="482">
        <f t="shared" si="19"/>
        <v>57605.871794871797</v>
      </c>
      <c r="F37" s="483">
        <f t="shared" si="20"/>
        <v>1118010.8671451197</v>
      </c>
      <c r="G37" s="484">
        <f t="shared" si="21"/>
        <v>194488.36392476084</v>
      </c>
      <c r="H37" s="453">
        <f t="shared" si="22"/>
        <v>194488.36392476084</v>
      </c>
      <c r="I37" s="473">
        <f t="shared" si="4"/>
        <v>0</v>
      </c>
      <c r="J37" s="473"/>
      <c r="K37" s="485"/>
      <c r="L37" s="476">
        <f t="shared" si="23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 ht="12.5">
      <c r="B38" s="160" t="str">
        <f t="shared" si="3"/>
        <v/>
      </c>
      <c r="C38" s="470">
        <f>IF(D11="","-",+C37+1)</f>
        <v>2035</v>
      </c>
      <c r="D38" s="483">
        <f>IF(F37+SUM(E$17:E37)=D$10,F37,D$10-SUM(E$17:E37))</f>
        <v>1118010.8671451197</v>
      </c>
      <c r="E38" s="482">
        <f t="shared" si="19"/>
        <v>57605.871794871797</v>
      </c>
      <c r="F38" s="483">
        <f t="shared" si="20"/>
        <v>1060404.9953502479</v>
      </c>
      <c r="G38" s="484">
        <f t="shared" si="21"/>
        <v>187612.587515655</v>
      </c>
      <c r="H38" s="453">
        <f t="shared" si="22"/>
        <v>187612.587515655</v>
      </c>
      <c r="I38" s="473">
        <f t="shared" si="4"/>
        <v>0</v>
      </c>
      <c r="J38" s="473"/>
      <c r="K38" s="485"/>
      <c r="L38" s="476">
        <f t="shared" si="23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 ht="12.5">
      <c r="B39" s="160" t="str">
        <f t="shared" si="3"/>
        <v/>
      </c>
      <c r="C39" s="470">
        <f>IF(D11="","-",+C38+1)</f>
        <v>2036</v>
      </c>
      <c r="D39" s="483">
        <f>IF(F38+SUM(E$17:E38)=D$10,F38,D$10-SUM(E$17:E38))</f>
        <v>1060404.9953502479</v>
      </c>
      <c r="E39" s="482">
        <f t="shared" si="19"/>
        <v>57605.871794871797</v>
      </c>
      <c r="F39" s="483">
        <f t="shared" si="20"/>
        <v>1002799.1235553762</v>
      </c>
      <c r="G39" s="484">
        <f t="shared" si="21"/>
        <v>180736.8111065492</v>
      </c>
      <c r="H39" s="453">
        <f t="shared" si="22"/>
        <v>180736.8111065492</v>
      </c>
      <c r="I39" s="473">
        <f t="shared" si="4"/>
        <v>0</v>
      </c>
      <c r="J39" s="473"/>
      <c r="K39" s="485"/>
      <c r="L39" s="476">
        <f t="shared" si="23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 ht="12.5">
      <c r="B40" s="160" t="str">
        <f t="shared" si="3"/>
        <v/>
      </c>
      <c r="C40" s="470">
        <f>IF(D11="","-",+C39+1)</f>
        <v>2037</v>
      </c>
      <c r="D40" s="483">
        <f>IF(F39+SUM(E$17:E39)=D$10,F39,D$10-SUM(E$17:E39))</f>
        <v>1002799.1235553762</v>
      </c>
      <c r="E40" s="482">
        <f t="shared" si="19"/>
        <v>57605.871794871797</v>
      </c>
      <c r="F40" s="483">
        <f t="shared" si="20"/>
        <v>945193.25176050444</v>
      </c>
      <c r="G40" s="484">
        <f t="shared" si="21"/>
        <v>173861.03469744336</v>
      </c>
      <c r="H40" s="453">
        <f t="shared" si="22"/>
        <v>173861.03469744336</v>
      </c>
      <c r="I40" s="473">
        <f t="shared" si="4"/>
        <v>0</v>
      </c>
      <c r="J40" s="473"/>
      <c r="K40" s="485"/>
      <c r="L40" s="476">
        <f t="shared" si="23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 ht="12.5">
      <c r="B41" s="160" t="str">
        <f t="shared" si="3"/>
        <v/>
      </c>
      <c r="C41" s="470">
        <f>IF(D11="","-",+C40+1)</f>
        <v>2038</v>
      </c>
      <c r="D41" s="483">
        <f>IF(F40+SUM(E$17:E40)=D$10,F40,D$10-SUM(E$17:E40))</f>
        <v>945193.25176050444</v>
      </c>
      <c r="E41" s="482">
        <f t="shared" si="19"/>
        <v>57605.871794871797</v>
      </c>
      <c r="F41" s="483">
        <f t="shared" si="20"/>
        <v>887587.37996563269</v>
      </c>
      <c r="G41" s="484">
        <f t="shared" si="21"/>
        <v>166985.25828833756</v>
      </c>
      <c r="H41" s="453">
        <f t="shared" si="22"/>
        <v>166985.25828833756</v>
      </c>
      <c r="I41" s="473">
        <f t="shared" si="4"/>
        <v>0</v>
      </c>
      <c r="J41" s="473"/>
      <c r="K41" s="485"/>
      <c r="L41" s="476">
        <f t="shared" si="23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 ht="12.5">
      <c r="B42" s="160" t="str">
        <f t="shared" si="3"/>
        <v/>
      </c>
      <c r="C42" s="470">
        <f>IF(D11="","-",+C41+1)</f>
        <v>2039</v>
      </c>
      <c r="D42" s="483">
        <f>IF(F41+SUM(E$17:E41)=D$10,F41,D$10-SUM(E$17:E41))</f>
        <v>887587.37996563269</v>
      </c>
      <c r="E42" s="482">
        <f t="shared" si="19"/>
        <v>57605.871794871797</v>
      </c>
      <c r="F42" s="483">
        <f t="shared" si="20"/>
        <v>829981.50817076094</v>
      </c>
      <c r="G42" s="484">
        <f t="shared" si="21"/>
        <v>160109.48187923175</v>
      </c>
      <c r="H42" s="453">
        <f t="shared" si="22"/>
        <v>160109.48187923175</v>
      </c>
      <c r="I42" s="473">
        <f t="shared" si="4"/>
        <v>0</v>
      </c>
      <c r="J42" s="473"/>
      <c r="K42" s="485"/>
      <c r="L42" s="476">
        <f t="shared" si="23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 ht="12.5">
      <c r="B43" s="160" t="str">
        <f t="shared" si="3"/>
        <v/>
      </c>
      <c r="C43" s="470">
        <f>IF(D11="","-",+C42+1)</f>
        <v>2040</v>
      </c>
      <c r="D43" s="483">
        <f>IF(F42+SUM(E$17:E42)=D$10,F42,D$10-SUM(E$17:E42))</f>
        <v>829981.50817076094</v>
      </c>
      <c r="E43" s="482">
        <f t="shared" si="19"/>
        <v>57605.871794871797</v>
      </c>
      <c r="F43" s="483">
        <f t="shared" si="20"/>
        <v>772375.63637588918</v>
      </c>
      <c r="G43" s="484">
        <f t="shared" si="21"/>
        <v>153233.70547012592</v>
      </c>
      <c r="H43" s="453">
        <f t="shared" si="22"/>
        <v>153233.70547012592</v>
      </c>
      <c r="I43" s="473">
        <f t="shared" si="4"/>
        <v>0</v>
      </c>
      <c r="J43" s="473"/>
      <c r="K43" s="485"/>
      <c r="L43" s="476">
        <f t="shared" si="23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 ht="12.5">
      <c r="B44" s="160" t="str">
        <f t="shared" si="3"/>
        <v/>
      </c>
      <c r="C44" s="470">
        <f>IF(D11="","-",+C43+1)</f>
        <v>2041</v>
      </c>
      <c r="D44" s="483">
        <f>IF(F43+SUM(E$17:E43)=D$10,F43,D$10-SUM(E$17:E43))</f>
        <v>772375.63637588918</v>
      </c>
      <c r="E44" s="482">
        <f t="shared" si="19"/>
        <v>57605.871794871797</v>
      </c>
      <c r="F44" s="483">
        <f t="shared" si="20"/>
        <v>714769.76458101743</v>
      </c>
      <c r="G44" s="484">
        <f t="shared" si="21"/>
        <v>146357.92906102011</v>
      </c>
      <c r="H44" s="453">
        <f t="shared" si="22"/>
        <v>146357.92906102011</v>
      </c>
      <c r="I44" s="473">
        <f t="shared" si="4"/>
        <v>0</v>
      </c>
      <c r="J44" s="473"/>
      <c r="K44" s="485"/>
      <c r="L44" s="476">
        <f t="shared" si="23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 ht="12.5">
      <c r="B45" s="160" t="str">
        <f t="shared" si="3"/>
        <v/>
      </c>
      <c r="C45" s="470">
        <f>IF(D11="","-",+C44+1)</f>
        <v>2042</v>
      </c>
      <c r="D45" s="483">
        <f>IF(F44+SUM(E$17:E44)=D$10,F44,D$10-SUM(E$17:E44))</f>
        <v>714769.76458101743</v>
      </c>
      <c r="E45" s="482">
        <f t="shared" si="19"/>
        <v>57605.871794871797</v>
      </c>
      <c r="F45" s="483">
        <f t="shared" si="20"/>
        <v>657163.89278614568</v>
      </c>
      <c r="G45" s="484">
        <f t="shared" si="21"/>
        <v>139482.15265191428</v>
      </c>
      <c r="H45" s="453">
        <f t="shared" si="22"/>
        <v>139482.15265191428</v>
      </c>
      <c r="I45" s="473">
        <f t="shared" si="4"/>
        <v>0</v>
      </c>
      <c r="J45" s="473"/>
      <c r="K45" s="485"/>
      <c r="L45" s="476">
        <f t="shared" si="23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 ht="12.5">
      <c r="B46" s="160" t="str">
        <f t="shared" si="3"/>
        <v/>
      </c>
      <c r="C46" s="470">
        <f>IF(D11="","-",+C45+1)</f>
        <v>2043</v>
      </c>
      <c r="D46" s="483">
        <f>IF(F45+SUM(E$17:E45)=D$10,F45,D$10-SUM(E$17:E45))</f>
        <v>657163.89278614568</v>
      </c>
      <c r="E46" s="482">
        <f t="shared" si="19"/>
        <v>57605.871794871797</v>
      </c>
      <c r="F46" s="483">
        <f t="shared" si="20"/>
        <v>599558.02099127392</v>
      </c>
      <c r="G46" s="484">
        <f t="shared" si="21"/>
        <v>132606.37624280847</v>
      </c>
      <c r="H46" s="453">
        <f t="shared" si="22"/>
        <v>132606.37624280847</v>
      </c>
      <c r="I46" s="473">
        <f t="shared" si="4"/>
        <v>0</v>
      </c>
      <c r="J46" s="473"/>
      <c r="K46" s="485"/>
      <c r="L46" s="476">
        <f t="shared" si="23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 ht="12.5">
      <c r="B47" s="160" t="str">
        <f t="shared" si="3"/>
        <v/>
      </c>
      <c r="C47" s="470">
        <f>IF(D11="","-",+C46+1)</f>
        <v>2044</v>
      </c>
      <c r="D47" s="483">
        <f>IF(F46+SUM(E$17:E46)=D$10,F46,D$10-SUM(E$17:E46))</f>
        <v>599558.02099127392</v>
      </c>
      <c r="E47" s="482">
        <f t="shared" si="19"/>
        <v>57605.871794871797</v>
      </c>
      <c r="F47" s="483">
        <f t="shared" si="20"/>
        <v>541952.14919640217</v>
      </c>
      <c r="G47" s="484">
        <f t="shared" si="21"/>
        <v>125730.59983370265</v>
      </c>
      <c r="H47" s="453">
        <f t="shared" si="22"/>
        <v>125730.59983370265</v>
      </c>
      <c r="I47" s="473">
        <f t="shared" si="4"/>
        <v>0</v>
      </c>
      <c r="J47" s="473"/>
      <c r="K47" s="485"/>
      <c r="L47" s="476">
        <f t="shared" si="23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 ht="12.5">
      <c r="B48" s="160" t="str">
        <f t="shared" si="3"/>
        <v/>
      </c>
      <c r="C48" s="470">
        <f>IF(D11="","-",+C47+1)</f>
        <v>2045</v>
      </c>
      <c r="D48" s="483">
        <f>IF(F47+SUM(E$17:E47)=D$10,F47,D$10-SUM(E$17:E47))</f>
        <v>541952.14919640217</v>
      </c>
      <c r="E48" s="482">
        <f t="shared" si="19"/>
        <v>57605.871794871797</v>
      </c>
      <c r="F48" s="483">
        <f t="shared" si="20"/>
        <v>484346.27740153036</v>
      </c>
      <c r="G48" s="484">
        <f t="shared" si="21"/>
        <v>118854.82342459683</v>
      </c>
      <c r="H48" s="453">
        <f t="shared" si="22"/>
        <v>118854.82342459683</v>
      </c>
      <c r="I48" s="473">
        <f t="shared" si="4"/>
        <v>0</v>
      </c>
      <c r="J48" s="473"/>
      <c r="K48" s="485"/>
      <c r="L48" s="476">
        <f t="shared" si="23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 ht="12.5">
      <c r="B49" s="160" t="str">
        <f t="shared" si="3"/>
        <v/>
      </c>
      <c r="C49" s="470">
        <f>IF(D11="","-",+C48+1)</f>
        <v>2046</v>
      </c>
      <c r="D49" s="483">
        <f>IF(F48+SUM(E$17:E48)=D$10,F48,D$10-SUM(E$17:E48))</f>
        <v>484346.27740153036</v>
      </c>
      <c r="E49" s="482">
        <f t="shared" si="19"/>
        <v>57605.871794871797</v>
      </c>
      <c r="F49" s="483">
        <f t="shared" si="20"/>
        <v>426740.40560665855</v>
      </c>
      <c r="G49" s="484">
        <f t="shared" si="21"/>
        <v>111979.047015491</v>
      </c>
      <c r="H49" s="453">
        <f t="shared" si="22"/>
        <v>111979.047015491</v>
      </c>
      <c r="I49" s="473">
        <f t="shared" si="4"/>
        <v>0</v>
      </c>
      <c r="J49" s="473"/>
      <c r="K49" s="485"/>
      <c r="L49" s="476">
        <f t="shared" si="23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 ht="12.5">
      <c r="B50" s="160" t="str">
        <f t="shared" si="3"/>
        <v/>
      </c>
      <c r="C50" s="470">
        <f>IF(D11="","-",+C49+1)</f>
        <v>2047</v>
      </c>
      <c r="D50" s="483">
        <f>IF(F49+SUM(E$17:E49)=D$10,F49,D$10-SUM(E$17:E49))</f>
        <v>426740.40560665855</v>
      </c>
      <c r="E50" s="482">
        <f t="shared" si="19"/>
        <v>57605.871794871797</v>
      </c>
      <c r="F50" s="483">
        <f t="shared" si="20"/>
        <v>369134.53381178674</v>
      </c>
      <c r="G50" s="484">
        <f t="shared" si="21"/>
        <v>105103.27060638519</v>
      </c>
      <c r="H50" s="453">
        <f t="shared" si="22"/>
        <v>105103.27060638519</v>
      </c>
      <c r="I50" s="473">
        <f t="shared" si="4"/>
        <v>0</v>
      </c>
      <c r="J50" s="473"/>
      <c r="K50" s="485"/>
      <c r="L50" s="476">
        <f t="shared" si="23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 ht="12.5">
      <c r="B51" s="160" t="str">
        <f t="shared" si="3"/>
        <v/>
      </c>
      <c r="C51" s="470">
        <f>IF(D11="","-",+C50+1)</f>
        <v>2048</v>
      </c>
      <c r="D51" s="483">
        <f>IF(F50+SUM(E$17:E50)=D$10,F50,D$10-SUM(E$17:E50))</f>
        <v>369134.53381178674</v>
      </c>
      <c r="E51" s="482">
        <f t="shared" si="19"/>
        <v>57605.871794871797</v>
      </c>
      <c r="F51" s="483">
        <f t="shared" si="20"/>
        <v>311528.66201691492</v>
      </c>
      <c r="G51" s="484">
        <f t="shared" si="21"/>
        <v>98227.49419727936</v>
      </c>
      <c r="H51" s="453">
        <f t="shared" si="22"/>
        <v>98227.49419727936</v>
      </c>
      <c r="I51" s="473">
        <f t="shared" si="4"/>
        <v>0</v>
      </c>
      <c r="J51" s="473"/>
      <c r="K51" s="485"/>
      <c r="L51" s="476">
        <f t="shared" si="23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 ht="12.5">
      <c r="B52" s="160" t="str">
        <f t="shared" si="3"/>
        <v/>
      </c>
      <c r="C52" s="470">
        <f>IF(D11="","-",+C51+1)</f>
        <v>2049</v>
      </c>
      <c r="D52" s="483">
        <f>IF(F51+SUM(E$17:E51)=D$10,F51,D$10-SUM(E$17:E51))</f>
        <v>311528.66201691492</v>
      </c>
      <c r="E52" s="482">
        <f t="shared" si="19"/>
        <v>57605.871794871797</v>
      </c>
      <c r="F52" s="483">
        <f t="shared" si="20"/>
        <v>253922.79022204311</v>
      </c>
      <c r="G52" s="484">
        <f t="shared" si="21"/>
        <v>91351.717788173526</v>
      </c>
      <c r="H52" s="453">
        <f t="shared" si="22"/>
        <v>91351.717788173526</v>
      </c>
      <c r="I52" s="473">
        <f t="shared" si="4"/>
        <v>0</v>
      </c>
      <c r="J52" s="473"/>
      <c r="K52" s="485"/>
      <c r="L52" s="476">
        <f t="shared" si="23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 ht="12.5">
      <c r="B53" s="160" t="str">
        <f t="shared" si="3"/>
        <v/>
      </c>
      <c r="C53" s="470">
        <f>IF(D11="","-",+C52+1)</f>
        <v>2050</v>
      </c>
      <c r="D53" s="483">
        <f>IF(F52+SUM(E$17:E52)=D$10,F52,D$10-SUM(E$17:E52))</f>
        <v>253922.79022204311</v>
      </c>
      <c r="E53" s="482">
        <f t="shared" si="19"/>
        <v>57605.871794871797</v>
      </c>
      <c r="F53" s="483">
        <f t="shared" si="20"/>
        <v>196316.9184271713</v>
      </c>
      <c r="G53" s="484">
        <f t="shared" si="21"/>
        <v>84475.941379067706</v>
      </c>
      <c r="H53" s="453">
        <f t="shared" si="22"/>
        <v>84475.941379067706</v>
      </c>
      <c r="I53" s="473">
        <f t="shared" si="4"/>
        <v>0</v>
      </c>
      <c r="J53" s="473"/>
      <c r="K53" s="485"/>
      <c r="L53" s="476">
        <f t="shared" si="23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 ht="12.5">
      <c r="B54" s="160" t="str">
        <f t="shared" si="3"/>
        <v/>
      </c>
      <c r="C54" s="470">
        <f>IF(D11="","-",+C53+1)</f>
        <v>2051</v>
      </c>
      <c r="D54" s="483">
        <f>IF(F53+SUM(E$17:E53)=D$10,F53,D$10-SUM(E$17:E53))</f>
        <v>196316.9184271713</v>
      </c>
      <c r="E54" s="482">
        <f t="shared" si="19"/>
        <v>57605.871794871797</v>
      </c>
      <c r="F54" s="483">
        <f t="shared" si="20"/>
        <v>138711.04663229949</v>
      </c>
      <c r="G54" s="484">
        <f t="shared" si="21"/>
        <v>77600.164969961887</v>
      </c>
      <c r="H54" s="453">
        <f t="shared" si="22"/>
        <v>77600.164969961887</v>
      </c>
      <c r="I54" s="473">
        <f t="shared" si="4"/>
        <v>0</v>
      </c>
      <c r="J54" s="473"/>
      <c r="K54" s="485"/>
      <c r="L54" s="476">
        <f t="shared" si="23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 ht="12.5">
      <c r="B55" s="160" t="str">
        <f t="shared" si="3"/>
        <v/>
      </c>
      <c r="C55" s="470">
        <f>IF(D11="","-",+C54+1)</f>
        <v>2052</v>
      </c>
      <c r="D55" s="483">
        <f>IF(F54+SUM(E$17:E54)=D$10,F54,D$10-SUM(E$17:E54))</f>
        <v>138711.04663229949</v>
      </c>
      <c r="E55" s="482">
        <f t="shared" si="19"/>
        <v>57605.871794871797</v>
      </c>
      <c r="F55" s="483">
        <f t="shared" si="20"/>
        <v>81105.174837427694</v>
      </c>
      <c r="G55" s="484">
        <f t="shared" si="21"/>
        <v>70724.388560856052</v>
      </c>
      <c r="H55" s="453">
        <f t="shared" si="22"/>
        <v>70724.388560856052</v>
      </c>
      <c r="I55" s="473">
        <f t="shared" si="4"/>
        <v>0</v>
      </c>
      <c r="J55" s="473"/>
      <c r="K55" s="485"/>
      <c r="L55" s="476">
        <f t="shared" si="23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 ht="12.5">
      <c r="B56" s="160" t="str">
        <f t="shared" si="3"/>
        <v/>
      </c>
      <c r="C56" s="470">
        <f>IF(D11="","-",+C55+1)</f>
        <v>2053</v>
      </c>
      <c r="D56" s="483">
        <f>IF(F55+SUM(E$17:E55)=D$10,F55,D$10-SUM(E$17:E55))</f>
        <v>81105.174837427694</v>
      </c>
      <c r="E56" s="482">
        <f t="shared" si="19"/>
        <v>57605.871794871797</v>
      </c>
      <c r="F56" s="483">
        <f t="shared" si="20"/>
        <v>23499.303042555897</v>
      </c>
      <c r="G56" s="484">
        <f t="shared" si="21"/>
        <v>63848.612151750232</v>
      </c>
      <c r="H56" s="453">
        <f t="shared" si="22"/>
        <v>63848.612151750232</v>
      </c>
      <c r="I56" s="473">
        <f t="shared" si="4"/>
        <v>0</v>
      </c>
      <c r="J56" s="473"/>
      <c r="K56" s="485"/>
      <c r="L56" s="476">
        <f t="shared" si="23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 ht="12.5">
      <c r="B57" s="160" t="str">
        <f t="shared" si="3"/>
        <v/>
      </c>
      <c r="C57" s="470">
        <f>IF(D11="","-",+C56+1)</f>
        <v>2054</v>
      </c>
      <c r="D57" s="483">
        <f>IF(F56+SUM(E$17:E56)=D$10,F56,D$10-SUM(E$17:E56))</f>
        <v>23499.303042555897</v>
      </c>
      <c r="E57" s="482">
        <f t="shared" si="19"/>
        <v>23499.303042555897</v>
      </c>
      <c r="F57" s="483">
        <f t="shared" si="20"/>
        <v>0</v>
      </c>
      <c r="G57" s="484">
        <f t="shared" si="21"/>
        <v>24901.72911871866</v>
      </c>
      <c r="H57" s="453">
        <f t="shared" si="22"/>
        <v>24901.72911871866</v>
      </c>
      <c r="I57" s="473">
        <f t="shared" si="4"/>
        <v>0</v>
      </c>
      <c r="J57" s="473"/>
      <c r="K57" s="485"/>
      <c r="L57" s="476">
        <f t="shared" si="23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 ht="12.5">
      <c r="B58" s="160" t="str">
        <f t="shared" si="3"/>
        <v/>
      </c>
      <c r="C58" s="470">
        <f>IF(D11="","-",+C57+1)</f>
        <v>2055</v>
      </c>
      <c r="D58" s="483">
        <f>IF(F57+SUM(E$17:E57)=D$10,F57,D$10-SUM(E$17:E57))</f>
        <v>0</v>
      </c>
      <c r="E58" s="482">
        <f t="shared" si="19"/>
        <v>0</v>
      </c>
      <c r="F58" s="483">
        <f t="shared" si="20"/>
        <v>0</v>
      </c>
      <c r="G58" s="484">
        <f t="shared" si="21"/>
        <v>0</v>
      </c>
      <c r="H58" s="453">
        <f t="shared" si="22"/>
        <v>0</v>
      </c>
      <c r="I58" s="473">
        <f t="shared" si="4"/>
        <v>0</v>
      </c>
      <c r="J58" s="473"/>
      <c r="K58" s="485"/>
      <c r="L58" s="476">
        <f t="shared" si="23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 ht="12.5">
      <c r="B59" s="160" t="str">
        <f t="shared" si="3"/>
        <v/>
      </c>
      <c r="C59" s="470">
        <f>IF(D11="","-",+C58+1)</f>
        <v>2056</v>
      </c>
      <c r="D59" s="483">
        <f>IF(F58+SUM(E$17:E58)=D$10,F58,D$10-SUM(E$17:E58))</f>
        <v>0</v>
      </c>
      <c r="E59" s="482">
        <f t="shared" si="19"/>
        <v>0</v>
      </c>
      <c r="F59" s="483">
        <f t="shared" si="20"/>
        <v>0</v>
      </c>
      <c r="G59" s="484">
        <f t="shared" si="21"/>
        <v>0</v>
      </c>
      <c r="H59" s="453">
        <f t="shared" si="22"/>
        <v>0</v>
      </c>
      <c r="I59" s="473">
        <f t="shared" si="4"/>
        <v>0</v>
      </c>
      <c r="J59" s="473"/>
      <c r="K59" s="485"/>
      <c r="L59" s="476">
        <f t="shared" si="23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 ht="12.5">
      <c r="B60" s="160" t="str">
        <f t="shared" si="3"/>
        <v/>
      </c>
      <c r="C60" s="470">
        <f>IF(D11="","-",+C59+1)</f>
        <v>2057</v>
      </c>
      <c r="D60" s="483">
        <f>IF(F59+SUM(E$17:E59)=D$10,F59,D$10-SUM(E$17:E59))</f>
        <v>0</v>
      </c>
      <c r="E60" s="482">
        <f t="shared" si="19"/>
        <v>0</v>
      </c>
      <c r="F60" s="483">
        <f t="shared" si="20"/>
        <v>0</v>
      </c>
      <c r="G60" s="484">
        <f t="shared" si="21"/>
        <v>0</v>
      </c>
      <c r="H60" s="453">
        <f t="shared" si="22"/>
        <v>0</v>
      </c>
      <c r="I60" s="473">
        <f t="shared" si="4"/>
        <v>0</v>
      </c>
      <c r="J60" s="473"/>
      <c r="K60" s="485"/>
      <c r="L60" s="476">
        <f t="shared" si="23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 ht="12.5">
      <c r="B61" s="160" t="str">
        <f t="shared" si="3"/>
        <v/>
      </c>
      <c r="C61" s="470">
        <f>IF(D11="","-",+C60+1)</f>
        <v>2058</v>
      </c>
      <c r="D61" s="483">
        <f>IF(F60+SUM(E$17:E60)=D$10,F60,D$10-SUM(E$17:E60))</f>
        <v>0</v>
      </c>
      <c r="E61" s="482">
        <f t="shared" si="19"/>
        <v>0</v>
      </c>
      <c r="F61" s="483">
        <f t="shared" si="20"/>
        <v>0</v>
      </c>
      <c r="G61" s="484">
        <f t="shared" si="21"/>
        <v>0</v>
      </c>
      <c r="H61" s="453">
        <f t="shared" si="22"/>
        <v>0</v>
      </c>
      <c r="I61" s="473">
        <f t="shared" si="4"/>
        <v>0</v>
      </c>
      <c r="J61" s="473"/>
      <c r="K61" s="485"/>
      <c r="L61" s="476">
        <f t="shared" si="23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 ht="12.5">
      <c r="B62" s="160" t="str">
        <f t="shared" si="3"/>
        <v/>
      </c>
      <c r="C62" s="470">
        <f>IF(D11="","-",+C61+1)</f>
        <v>2059</v>
      </c>
      <c r="D62" s="483">
        <f>IF(F61+SUM(E$17:E61)=D$10,F61,D$10-SUM(E$17:E61))</f>
        <v>0</v>
      </c>
      <c r="E62" s="482">
        <f t="shared" si="19"/>
        <v>0</v>
      </c>
      <c r="F62" s="483">
        <f t="shared" si="20"/>
        <v>0</v>
      </c>
      <c r="G62" s="484">
        <f t="shared" si="21"/>
        <v>0</v>
      </c>
      <c r="H62" s="453">
        <f t="shared" si="22"/>
        <v>0</v>
      </c>
      <c r="I62" s="473">
        <f t="shared" si="4"/>
        <v>0</v>
      </c>
      <c r="J62" s="473"/>
      <c r="K62" s="485"/>
      <c r="L62" s="476">
        <f t="shared" si="23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 ht="12.5">
      <c r="B63" s="160" t="str">
        <f t="shared" si="3"/>
        <v/>
      </c>
      <c r="C63" s="470">
        <f>IF(D11="","-",+C62+1)</f>
        <v>2060</v>
      </c>
      <c r="D63" s="483">
        <f>IF(F62+SUM(E$17:E62)=D$10,F62,D$10-SUM(E$17:E62))</f>
        <v>0</v>
      </c>
      <c r="E63" s="482">
        <f t="shared" si="19"/>
        <v>0</v>
      </c>
      <c r="F63" s="483">
        <f t="shared" si="20"/>
        <v>0</v>
      </c>
      <c r="G63" s="484">
        <f t="shared" si="21"/>
        <v>0</v>
      </c>
      <c r="H63" s="453">
        <f t="shared" si="22"/>
        <v>0</v>
      </c>
      <c r="I63" s="473">
        <f t="shared" si="4"/>
        <v>0</v>
      </c>
      <c r="J63" s="473"/>
      <c r="K63" s="485"/>
      <c r="L63" s="476">
        <f t="shared" si="23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 ht="12.5">
      <c r="B64" s="160" t="str">
        <f t="shared" si="3"/>
        <v/>
      </c>
      <c r="C64" s="470">
        <f>IF(D11="","-",+C63+1)</f>
        <v>2061</v>
      </c>
      <c r="D64" s="483">
        <f>IF(F63+SUM(E$17:E63)=D$10,F63,D$10-SUM(E$17:E63))</f>
        <v>0</v>
      </c>
      <c r="E64" s="482">
        <f t="shared" si="19"/>
        <v>0</v>
      </c>
      <c r="F64" s="483">
        <f t="shared" si="20"/>
        <v>0</v>
      </c>
      <c r="G64" s="484">
        <f t="shared" si="21"/>
        <v>0</v>
      </c>
      <c r="H64" s="453">
        <f t="shared" si="22"/>
        <v>0</v>
      </c>
      <c r="I64" s="473">
        <f t="shared" si="4"/>
        <v>0</v>
      </c>
      <c r="J64" s="473"/>
      <c r="K64" s="485"/>
      <c r="L64" s="476">
        <f t="shared" si="23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 ht="12.5">
      <c r="B65" s="160" t="str">
        <f t="shared" si="3"/>
        <v/>
      </c>
      <c r="C65" s="470">
        <f>IF(D11="","-",+C64+1)</f>
        <v>2062</v>
      </c>
      <c r="D65" s="483">
        <f>IF(F64+SUM(E$17:E64)=D$10,F64,D$10-SUM(E$17:E64))</f>
        <v>0</v>
      </c>
      <c r="E65" s="482">
        <f t="shared" si="19"/>
        <v>0</v>
      </c>
      <c r="F65" s="483">
        <f t="shared" si="20"/>
        <v>0</v>
      </c>
      <c r="G65" s="484">
        <f t="shared" si="21"/>
        <v>0</v>
      </c>
      <c r="H65" s="453">
        <f t="shared" si="22"/>
        <v>0</v>
      </c>
      <c r="I65" s="473">
        <f t="shared" si="4"/>
        <v>0</v>
      </c>
      <c r="J65" s="473"/>
      <c r="K65" s="485"/>
      <c r="L65" s="476">
        <f t="shared" si="23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 ht="12.5">
      <c r="B66" s="160" t="str">
        <f t="shared" si="3"/>
        <v/>
      </c>
      <c r="C66" s="470">
        <f>IF(D11="","-",+C65+1)</f>
        <v>2063</v>
      </c>
      <c r="D66" s="483">
        <f>IF(F65+SUM(E$17:E65)=D$10,F65,D$10-SUM(E$17:E65))</f>
        <v>0</v>
      </c>
      <c r="E66" s="482">
        <f t="shared" si="19"/>
        <v>0</v>
      </c>
      <c r="F66" s="483">
        <f t="shared" si="20"/>
        <v>0</v>
      </c>
      <c r="G66" s="484">
        <f t="shared" si="21"/>
        <v>0</v>
      </c>
      <c r="H66" s="453">
        <f t="shared" si="22"/>
        <v>0</v>
      </c>
      <c r="I66" s="473">
        <f t="shared" si="4"/>
        <v>0</v>
      </c>
      <c r="J66" s="473"/>
      <c r="K66" s="485"/>
      <c r="L66" s="476">
        <f t="shared" si="23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 ht="12.5">
      <c r="B67" s="160" t="str">
        <f t="shared" si="3"/>
        <v/>
      </c>
      <c r="C67" s="470">
        <f>IF(D11="","-",+C66+1)</f>
        <v>2064</v>
      </c>
      <c r="D67" s="483">
        <f>IF(F66+SUM(E$17:E66)=D$10,F66,D$10-SUM(E$17:E66))</f>
        <v>0</v>
      </c>
      <c r="E67" s="482">
        <f t="shared" si="19"/>
        <v>0</v>
      </c>
      <c r="F67" s="483">
        <f t="shared" si="20"/>
        <v>0</v>
      </c>
      <c r="G67" s="484">
        <f t="shared" si="21"/>
        <v>0</v>
      </c>
      <c r="H67" s="453">
        <f t="shared" si="22"/>
        <v>0</v>
      </c>
      <c r="I67" s="473">
        <f t="shared" si="4"/>
        <v>0</v>
      </c>
      <c r="J67" s="473"/>
      <c r="K67" s="485"/>
      <c r="L67" s="476">
        <f t="shared" si="23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 ht="12.5">
      <c r="B68" s="160" t="str">
        <f t="shared" si="3"/>
        <v/>
      </c>
      <c r="C68" s="470">
        <f>IF(D11="","-",+C67+1)</f>
        <v>2065</v>
      </c>
      <c r="D68" s="483">
        <f>IF(F67+SUM(E$17:E67)=D$10,F67,D$10-SUM(E$17:E67))</f>
        <v>0</v>
      </c>
      <c r="E68" s="482">
        <f t="shared" si="19"/>
        <v>0</v>
      </c>
      <c r="F68" s="483">
        <f t="shared" si="20"/>
        <v>0</v>
      </c>
      <c r="G68" s="484">
        <f t="shared" si="21"/>
        <v>0</v>
      </c>
      <c r="H68" s="453">
        <f t="shared" si="22"/>
        <v>0</v>
      </c>
      <c r="I68" s="473">
        <f t="shared" si="4"/>
        <v>0</v>
      </c>
      <c r="J68" s="473"/>
      <c r="K68" s="485"/>
      <c r="L68" s="476">
        <f t="shared" si="23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 ht="12.5">
      <c r="B69" s="160" t="str">
        <f t="shared" si="3"/>
        <v/>
      </c>
      <c r="C69" s="470">
        <f>IF(D11="","-",+C68+1)</f>
        <v>2066</v>
      </c>
      <c r="D69" s="483">
        <f>IF(F68+SUM(E$17:E68)=D$10,F68,D$10-SUM(E$17:E68))</f>
        <v>0</v>
      </c>
      <c r="E69" s="482">
        <f t="shared" si="19"/>
        <v>0</v>
      </c>
      <c r="F69" s="483">
        <f t="shared" si="20"/>
        <v>0</v>
      </c>
      <c r="G69" s="484">
        <f t="shared" si="21"/>
        <v>0</v>
      </c>
      <c r="H69" s="453">
        <f t="shared" si="22"/>
        <v>0</v>
      </c>
      <c r="I69" s="473">
        <f t="shared" si="4"/>
        <v>0</v>
      </c>
      <c r="J69" s="473"/>
      <c r="K69" s="485"/>
      <c r="L69" s="476">
        <f t="shared" si="23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 ht="12.5">
      <c r="B70" s="160" t="str">
        <f t="shared" si="3"/>
        <v/>
      </c>
      <c r="C70" s="470">
        <f>IF(D11="","-",+C69+1)</f>
        <v>2067</v>
      </c>
      <c r="D70" s="483">
        <f>IF(F69+SUM(E$17:E69)=D$10,F69,D$10-SUM(E$17:E69))</f>
        <v>0</v>
      </c>
      <c r="E70" s="482">
        <f t="shared" si="19"/>
        <v>0</v>
      </c>
      <c r="F70" s="483">
        <f t="shared" si="20"/>
        <v>0</v>
      </c>
      <c r="G70" s="484">
        <f t="shared" si="21"/>
        <v>0</v>
      </c>
      <c r="H70" s="453">
        <f t="shared" si="22"/>
        <v>0</v>
      </c>
      <c r="I70" s="473">
        <f t="shared" si="4"/>
        <v>0</v>
      </c>
      <c r="J70" s="473"/>
      <c r="K70" s="485"/>
      <c r="L70" s="476">
        <f t="shared" si="23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 ht="12.5">
      <c r="B71" s="160" t="str">
        <f t="shared" si="3"/>
        <v/>
      </c>
      <c r="C71" s="470">
        <f>IF(D11="","-",+C70+1)</f>
        <v>2068</v>
      </c>
      <c r="D71" s="483">
        <f>IF(F70+SUM(E$17:E70)=D$10,F70,D$10-SUM(E$17:E70))</f>
        <v>0</v>
      </c>
      <c r="E71" s="482">
        <f t="shared" si="19"/>
        <v>0</v>
      </c>
      <c r="F71" s="483">
        <f t="shared" si="20"/>
        <v>0</v>
      </c>
      <c r="G71" s="484">
        <f t="shared" si="21"/>
        <v>0</v>
      </c>
      <c r="H71" s="453">
        <f t="shared" si="22"/>
        <v>0</v>
      </c>
      <c r="I71" s="473">
        <f t="shared" si="4"/>
        <v>0</v>
      </c>
      <c r="J71" s="473"/>
      <c r="K71" s="485"/>
      <c r="L71" s="476">
        <f t="shared" si="23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" thickBot="1">
      <c r="B72" s="160" t="str">
        <f t="shared" si="3"/>
        <v/>
      </c>
      <c r="C72" s="487">
        <f>IF(D11="","-",+C71+1)</f>
        <v>2069</v>
      </c>
      <c r="D72" s="488">
        <f>IF(F71+SUM(E$17:E71)=D$10,F71,D$10-SUM(E$17:E71))</f>
        <v>0</v>
      </c>
      <c r="E72" s="489">
        <f t="shared" si="19"/>
        <v>0</v>
      </c>
      <c r="F72" s="488">
        <f t="shared" si="20"/>
        <v>0</v>
      </c>
      <c r="G72" s="488">
        <f t="shared" si="21"/>
        <v>0</v>
      </c>
      <c r="H72" s="488">
        <f t="shared" si="22"/>
        <v>0</v>
      </c>
      <c r="I72" s="493">
        <f t="shared" si="4"/>
        <v>0</v>
      </c>
      <c r="J72" s="488"/>
      <c r="K72" s="492"/>
      <c r="L72" s="493">
        <f t="shared" si="23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 ht="12.5">
      <c r="C73" s="345" t="s">
        <v>77</v>
      </c>
      <c r="D73" s="346"/>
      <c r="E73" s="346">
        <f>SUM(E17:E72)</f>
        <v>2246629</v>
      </c>
      <c r="F73" s="346"/>
      <c r="G73" s="346">
        <f>SUM(G17:G72)</f>
        <v>7868828.6679293467</v>
      </c>
      <c r="H73" s="346">
        <f>SUM(H17:H72)</f>
        <v>7868828.6679293467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15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266683.87179487181</v>
      </c>
      <c r="N87" s="506">
        <f>IF(J92&lt;D11,0,VLOOKUP(J92,C17:O72,11))</f>
        <v>266683.87179487181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261131.24875530892</v>
      </c>
      <c r="N88" s="510">
        <f>IF(J92&lt;D11,0,VLOOKUP(J92,C99:P154,7))</f>
        <v>261131.24875530892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Locust Grove to Lone Star 115 kV Rebuild 2.1 miles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-5552.6230395628954</v>
      </c>
      <c r="N89" s="515">
        <f>+N88-N87</f>
        <v>-5552.6230395628954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TP2009093</v>
      </c>
      <c r="E91" s="520" t="str">
        <f>E9</f>
        <v xml:space="preserve">  SPP Project ID = 649</v>
      </c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+D10</f>
        <v>2246629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714">
        <f>D11</f>
        <v>2014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59122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2014</v>
      </c>
      <c r="D99" s="582">
        <v>0</v>
      </c>
      <c r="E99" s="583">
        <v>36003.333333333336</v>
      </c>
      <c r="F99" s="584">
        <v>2210625.2366666663</v>
      </c>
      <c r="G99" s="602">
        <v>1105312.6183333332</v>
      </c>
      <c r="H99" s="603">
        <v>191405.76922123961</v>
      </c>
      <c r="I99" s="604">
        <v>191405.76922123961</v>
      </c>
      <c r="J99" s="476">
        <v>0</v>
      </c>
      <c r="K99" s="476"/>
      <c r="L99" s="474">
        <f t="shared" ref="L99:L104" si="24">H99</f>
        <v>191405.76922123961</v>
      </c>
      <c r="M99" s="347">
        <f t="shared" ref="M99:M104" si="25">IF(L99&lt;&gt;0,+H99-L99,0)</f>
        <v>0</v>
      </c>
      <c r="N99" s="474">
        <f t="shared" ref="N99:N104" si="26">I99</f>
        <v>191405.76922123961</v>
      </c>
      <c r="O99" s="473">
        <f>IF(N99&lt;&gt;0,+I99-N99,0)</f>
        <v>0</v>
      </c>
      <c r="P99" s="476">
        <f>+O99-M99</f>
        <v>0</v>
      </c>
    </row>
    <row r="100" spans="1:16" ht="12.5">
      <c r="B100" s="160" t="str">
        <f>IF(D100=F99,"","IU")</f>
        <v/>
      </c>
      <c r="C100" s="470">
        <f>IF(D93="","-",+C99+1)</f>
        <v>2015</v>
      </c>
      <c r="D100" s="582">
        <v>2210625.2366666663</v>
      </c>
      <c r="E100" s="583">
        <v>43204</v>
      </c>
      <c r="F100" s="584">
        <v>2167421.2366666663</v>
      </c>
      <c r="G100" s="584">
        <v>2189023.2366666663</v>
      </c>
      <c r="H100" s="603">
        <v>341878.62002899748</v>
      </c>
      <c r="I100" s="604">
        <v>341878.62002899748</v>
      </c>
      <c r="J100" s="476">
        <f>+I100-H100</f>
        <v>0</v>
      </c>
      <c r="K100" s="476"/>
      <c r="L100" s="474">
        <f t="shared" si="24"/>
        <v>341878.62002899748</v>
      </c>
      <c r="M100" s="347">
        <f t="shared" si="25"/>
        <v>0</v>
      </c>
      <c r="N100" s="474">
        <f t="shared" si="26"/>
        <v>341878.62002899748</v>
      </c>
      <c r="O100" s="473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27">IF(D101=F100,"","IU")</f>
        <v/>
      </c>
      <c r="C101" s="470">
        <f>IF(D93="","-",+C100+1)</f>
        <v>2016</v>
      </c>
      <c r="D101" s="582">
        <v>2167421.2366666663</v>
      </c>
      <c r="E101" s="583">
        <v>48840</v>
      </c>
      <c r="F101" s="584">
        <v>2118581.2366666663</v>
      </c>
      <c r="G101" s="584">
        <v>2143001.2366666663</v>
      </c>
      <c r="H101" s="603">
        <v>325106.60926354182</v>
      </c>
      <c r="I101" s="604">
        <v>325106.60926354182</v>
      </c>
      <c r="J101" s="476">
        <f t="shared" ref="J101:J154" si="28">+I101-H101</f>
        <v>0</v>
      </c>
      <c r="K101" s="476"/>
      <c r="L101" s="474">
        <f t="shared" si="24"/>
        <v>325106.60926354182</v>
      </c>
      <c r="M101" s="347">
        <f t="shared" si="25"/>
        <v>0</v>
      </c>
      <c r="N101" s="474">
        <f t="shared" si="26"/>
        <v>325106.60926354182</v>
      </c>
      <c r="O101" s="473">
        <f>IF(N101&lt;&gt;0,+I101-N101,0)</f>
        <v>0</v>
      </c>
      <c r="P101" s="476">
        <f>+O101-M101</f>
        <v>0</v>
      </c>
    </row>
    <row r="102" spans="1:16" ht="12.5">
      <c r="B102" s="160" t="str">
        <f t="shared" si="27"/>
        <v/>
      </c>
      <c r="C102" s="470">
        <f>IF(D93="","-",+C101+1)</f>
        <v>2017</v>
      </c>
      <c r="D102" s="582">
        <v>2118581.2366666663</v>
      </c>
      <c r="E102" s="583">
        <v>48840</v>
      </c>
      <c r="F102" s="584">
        <v>2069741.2366666663</v>
      </c>
      <c r="G102" s="584">
        <v>2094161.2366666663</v>
      </c>
      <c r="H102" s="603">
        <v>314489.63330060086</v>
      </c>
      <c r="I102" s="604">
        <v>314489.63330060086</v>
      </c>
      <c r="J102" s="476">
        <f t="shared" si="28"/>
        <v>0</v>
      </c>
      <c r="K102" s="476"/>
      <c r="L102" s="474">
        <f t="shared" si="24"/>
        <v>314489.63330060086</v>
      </c>
      <c r="M102" s="347">
        <f t="shared" si="25"/>
        <v>0</v>
      </c>
      <c r="N102" s="474">
        <f t="shared" si="26"/>
        <v>314489.63330060086</v>
      </c>
      <c r="O102" s="473">
        <f>IF(N102&lt;&gt;0,+I102-N102,0)</f>
        <v>0</v>
      </c>
      <c r="P102" s="476">
        <f>+O102-M102</f>
        <v>0</v>
      </c>
    </row>
    <row r="103" spans="1:16" ht="12.5">
      <c r="B103" s="160" t="str">
        <f t="shared" si="27"/>
        <v/>
      </c>
      <c r="C103" s="470">
        <f>IF(D93="","-",+C102+1)</f>
        <v>2018</v>
      </c>
      <c r="D103" s="582">
        <v>2069741.2366666663</v>
      </c>
      <c r="E103" s="583">
        <v>52247</v>
      </c>
      <c r="F103" s="584">
        <v>2017494.2366666663</v>
      </c>
      <c r="G103" s="584">
        <v>2043617.7366666663</v>
      </c>
      <c r="H103" s="603">
        <v>262199.22655399318</v>
      </c>
      <c r="I103" s="604">
        <v>262199.22655399318</v>
      </c>
      <c r="J103" s="476">
        <f t="shared" si="28"/>
        <v>0</v>
      </c>
      <c r="K103" s="476"/>
      <c r="L103" s="474">
        <f t="shared" si="24"/>
        <v>262199.22655399318</v>
      </c>
      <c r="M103" s="347">
        <f t="shared" si="25"/>
        <v>0</v>
      </c>
      <c r="N103" s="474">
        <f t="shared" si="26"/>
        <v>262199.22655399318</v>
      </c>
      <c r="O103" s="473">
        <f>IF(N103&lt;&gt;0,+I103-N103,0)</f>
        <v>0</v>
      </c>
      <c r="P103" s="476">
        <f>+O103-M103</f>
        <v>0</v>
      </c>
    </row>
    <row r="104" spans="1:16" ht="12.5">
      <c r="B104" s="160" t="str">
        <f t="shared" si="27"/>
        <v/>
      </c>
      <c r="C104" s="470">
        <f>IF(D93="","-",+C103+1)</f>
        <v>2019</v>
      </c>
      <c r="D104" s="582">
        <v>2017494.2366666663</v>
      </c>
      <c r="E104" s="583">
        <v>54796</v>
      </c>
      <c r="F104" s="584">
        <v>1962698.2366666663</v>
      </c>
      <c r="G104" s="584">
        <v>1990096.2366666663</v>
      </c>
      <c r="H104" s="603">
        <v>260002.83525061089</v>
      </c>
      <c r="I104" s="604">
        <v>260002.83525061089</v>
      </c>
      <c r="J104" s="476">
        <f t="shared" si="28"/>
        <v>0</v>
      </c>
      <c r="K104" s="476"/>
      <c r="L104" s="474">
        <f t="shared" si="24"/>
        <v>260002.83525061089</v>
      </c>
      <c r="M104" s="347">
        <f t="shared" si="25"/>
        <v>0</v>
      </c>
      <c r="N104" s="474">
        <f t="shared" si="26"/>
        <v>260002.83525061089</v>
      </c>
      <c r="O104" s="476">
        <f t="shared" ref="O104:O130" si="29">IF(N104&lt;&gt;0,+I104-N104,0)</f>
        <v>0</v>
      </c>
      <c r="P104" s="476">
        <f t="shared" ref="P104:P130" si="30">+O104-M104</f>
        <v>0</v>
      </c>
    </row>
    <row r="105" spans="1:16" ht="12.5">
      <c r="B105" s="160" t="str">
        <f t="shared" si="27"/>
        <v/>
      </c>
      <c r="C105" s="470">
        <f>IF(D93="","-",+C104+1)</f>
        <v>2020</v>
      </c>
      <c r="D105" s="582">
        <v>1962698.2366666663</v>
      </c>
      <c r="E105" s="583">
        <v>52247</v>
      </c>
      <c r="F105" s="584">
        <v>1910451.2366666663</v>
      </c>
      <c r="G105" s="584">
        <v>1936574.7366666663</v>
      </c>
      <c r="H105" s="603">
        <v>275528.74296443292</v>
      </c>
      <c r="I105" s="604">
        <v>275528.74296443292</v>
      </c>
      <c r="J105" s="476">
        <f t="shared" si="28"/>
        <v>0</v>
      </c>
      <c r="K105" s="476"/>
      <c r="L105" s="474">
        <f t="shared" ref="L105" si="31">H105</f>
        <v>275528.74296443292</v>
      </c>
      <c r="M105" s="347">
        <f t="shared" ref="M105" si="32">IF(L105&lt;&gt;0,+H105-L105,0)</f>
        <v>0</v>
      </c>
      <c r="N105" s="474">
        <f t="shared" ref="N105" si="33">I105</f>
        <v>275528.74296443292</v>
      </c>
      <c r="O105" s="476">
        <f t="shared" si="29"/>
        <v>0</v>
      </c>
      <c r="P105" s="476">
        <f t="shared" si="30"/>
        <v>0</v>
      </c>
    </row>
    <row r="106" spans="1:16" ht="12.5">
      <c r="B106" s="160" t="str">
        <f t="shared" si="27"/>
        <v/>
      </c>
      <c r="C106" s="470">
        <f>IF(D93="","-",+C105+1)</f>
        <v>2021</v>
      </c>
      <c r="D106" s="582">
        <v>1910451.2366666663</v>
      </c>
      <c r="E106" s="583">
        <v>54796</v>
      </c>
      <c r="F106" s="584">
        <v>1855655.2366666663</v>
      </c>
      <c r="G106" s="584">
        <v>1883053.2366666663</v>
      </c>
      <c r="H106" s="603">
        <v>269073.88722723804</v>
      </c>
      <c r="I106" s="604">
        <v>269073.88722723804</v>
      </c>
      <c r="J106" s="476">
        <f t="shared" si="28"/>
        <v>0</v>
      </c>
      <c r="K106" s="476"/>
      <c r="L106" s="474">
        <f t="shared" ref="L106" si="34">H106</f>
        <v>269073.88722723804</v>
      </c>
      <c r="M106" s="347">
        <f t="shared" ref="M106" si="35">IF(L106&lt;&gt;0,+H106-L106,0)</f>
        <v>0</v>
      </c>
      <c r="N106" s="474">
        <f t="shared" ref="N106" si="36">I106</f>
        <v>269073.88722723804</v>
      </c>
      <c r="O106" s="476">
        <f t="shared" si="29"/>
        <v>0</v>
      </c>
      <c r="P106" s="476">
        <f t="shared" si="30"/>
        <v>0</v>
      </c>
    </row>
    <row r="107" spans="1:16" ht="12.5">
      <c r="B107" s="160" t="str">
        <f t="shared" si="27"/>
        <v/>
      </c>
      <c r="C107" s="470">
        <f>IF(D93="","-",+C106+1)</f>
        <v>2022</v>
      </c>
      <c r="D107" s="582">
        <v>1855655.2366666663</v>
      </c>
      <c r="E107" s="583">
        <v>57606</v>
      </c>
      <c r="F107" s="584">
        <v>1798049.2366666663</v>
      </c>
      <c r="G107" s="584">
        <v>1826852.2366666663</v>
      </c>
      <c r="H107" s="603">
        <v>258893.42584774771</v>
      </c>
      <c r="I107" s="604">
        <v>258893.42584774771</v>
      </c>
      <c r="J107" s="476">
        <f t="shared" si="28"/>
        <v>0</v>
      </c>
      <c r="K107" s="476"/>
      <c r="L107" s="474">
        <f t="shared" ref="L107" si="37">H107</f>
        <v>258893.42584774771</v>
      </c>
      <c r="M107" s="347">
        <f t="shared" ref="M107" si="38">IF(L107&lt;&gt;0,+H107-L107,0)</f>
        <v>0</v>
      </c>
      <c r="N107" s="474">
        <f t="shared" ref="N107" si="39">I107</f>
        <v>258893.42584774771</v>
      </c>
      <c r="O107" s="476">
        <f t="shared" ref="O107" si="40">IF(N107&lt;&gt;0,+I107-N107,0)</f>
        <v>0</v>
      </c>
      <c r="P107" s="476">
        <f t="shared" ref="P107" si="41">+O107-M107</f>
        <v>0</v>
      </c>
    </row>
    <row r="108" spans="1:16" ht="12.5">
      <c r="B108" s="160" t="str">
        <f t="shared" si="27"/>
        <v>IU</v>
      </c>
      <c r="C108" s="470">
        <f>IF(D93="","-",+C107+1)</f>
        <v>2023</v>
      </c>
      <c r="D108" s="345">
        <f>IF(F107+SUM(E$99:E107)=D$92,F107,D$92-SUM(E$99:E107))</f>
        <v>1798049.6666666665</v>
      </c>
      <c r="E108" s="482">
        <f t="shared" ref="E108:E154" si="42">IF(+J$96&lt;F107,J$96,D108)</f>
        <v>59122</v>
      </c>
      <c r="F108" s="483">
        <f t="shared" ref="F108:F154" si="43">+D108-E108</f>
        <v>1738927.6666666665</v>
      </c>
      <c r="G108" s="483">
        <f t="shared" ref="G108:G154" si="44">+(F108+D108)/2</f>
        <v>1768488.6666666665</v>
      </c>
      <c r="H108" s="484">
        <f t="shared" ref="H108:H153" si="45">(D108+F108)/2*J$94+E108</f>
        <v>261131.24875530892</v>
      </c>
      <c r="I108" s="540">
        <f t="shared" ref="I108:I153" si="46">+J$95*G108+E108</f>
        <v>261131.24875530892</v>
      </c>
      <c r="J108" s="476">
        <f t="shared" si="28"/>
        <v>0</v>
      </c>
      <c r="K108" s="476"/>
      <c r="L108" s="485"/>
      <c r="M108" s="476">
        <f t="shared" ref="M108:M130" si="47">IF(L108&lt;&gt;0,+H108-L108,0)</f>
        <v>0</v>
      </c>
      <c r="N108" s="485"/>
      <c r="O108" s="476">
        <f t="shared" si="29"/>
        <v>0</v>
      </c>
      <c r="P108" s="476">
        <f t="shared" si="30"/>
        <v>0</v>
      </c>
    </row>
    <row r="109" spans="1:16" ht="12.5">
      <c r="B109" s="160" t="str">
        <f t="shared" si="27"/>
        <v/>
      </c>
      <c r="C109" s="470">
        <f>IF(D93="","-",+C108+1)</f>
        <v>2024</v>
      </c>
      <c r="D109" s="345">
        <f>IF(F108+SUM(E$99:E108)=D$92,F108,D$92-SUM(E$99:E108))</f>
        <v>1738927.6666666665</v>
      </c>
      <c r="E109" s="482">
        <f t="shared" si="42"/>
        <v>59122</v>
      </c>
      <c r="F109" s="483">
        <f t="shared" si="43"/>
        <v>1679805.6666666665</v>
      </c>
      <c r="G109" s="483">
        <f t="shared" si="44"/>
        <v>1709366.6666666665</v>
      </c>
      <c r="H109" s="484">
        <f t="shared" si="45"/>
        <v>254377.91692456414</v>
      </c>
      <c r="I109" s="540">
        <f t="shared" si="46"/>
        <v>254377.91692456414</v>
      </c>
      <c r="J109" s="476">
        <f t="shared" si="28"/>
        <v>0</v>
      </c>
      <c r="K109" s="476"/>
      <c r="L109" s="485"/>
      <c r="M109" s="476">
        <f t="shared" si="47"/>
        <v>0</v>
      </c>
      <c r="N109" s="485"/>
      <c r="O109" s="476">
        <f t="shared" si="29"/>
        <v>0</v>
      </c>
      <c r="P109" s="476">
        <f t="shared" si="30"/>
        <v>0</v>
      </c>
    </row>
    <row r="110" spans="1:16" ht="12.5">
      <c r="B110" s="160" t="str">
        <f t="shared" si="27"/>
        <v/>
      </c>
      <c r="C110" s="470">
        <f>IF(D93="","-",+C109+1)</f>
        <v>2025</v>
      </c>
      <c r="D110" s="345">
        <f>IF(F109+SUM(E$99:E109)=D$92,F109,D$92-SUM(E$99:E109))</f>
        <v>1679805.6666666665</v>
      </c>
      <c r="E110" s="482">
        <f t="shared" si="42"/>
        <v>59122</v>
      </c>
      <c r="F110" s="483">
        <f t="shared" si="43"/>
        <v>1620683.6666666665</v>
      </c>
      <c r="G110" s="483">
        <f t="shared" si="44"/>
        <v>1650244.6666666665</v>
      </c>
      <c r="H110" s="484">
        <f t="shared" si="45"/>
        <v>247624.58509381939</v>
      </c>
      <c r="I110" s="540">
        <f t="shared" si="46"/>
        <v>247624.58509381939</v>
      </c>
      <c r="J110" s="476">
        <f t="shared" si="28"/>
        <v>0</v>
      </c>
      <c r="K110" s="476"/>
      <c r="L110" s="485"/>
      <c r="M110" s="476">
        <f t="shared" si="47"/>
        <v>0</v>
      </c>
      <c r="N110" s="485"/>
      <c r="O110" s="476">
        <f t="shared" si="29"/>
        <v>0</v>
      </c>
      <c r="P110" s="476">
        <f t="shared" si="30"/>
        <v>0</v>
      </c>
    </row>
    <row r="111" spans="1:16" ht="12.5">
      <c r="B111" s="160" t="str">
        <f t="shared" si="27"/>
        <v/>
      </c>
      <c r="C111" s="470">
        <f>IF(D93="","-",+C110+1)</f>
        <v>2026</v>
      </c>
      <c r="D111" s="345">
        <f>IF(F110+SUM(E$99:E110)=D$92,F110,D$92-SUM(E$99:E110))</f>
        <v>1620683.6666666665</v>
      </c>
      <c r="E111" s="482">
        <f t="shared" si="42"/>
        <v>59122</v>
      </c>
      <c r="F111" s="483">
        <f t="shared" si="43"/>
        <v>1561561.6666666665</v>
      </c>
      <c r="G111" s="483">
        <f t="shared" si="44"/>
        <v>1591122.6666666665</v>
      </c>
      <c r="H111" s="484">
        <f t="shared" si="45"/>
        <v>240871.25326307461</v>
      </c>
      <c r="I111" s="540">
        <f t="shared" si="46"/>
        <v>240871.25326307461</v>
      </c>
      <c r="J111" s="476">
        <f t="shared" si="28"/>
        <v>0</v>
      </c>
      <c r="K111" s="476"/>
      <c r="L111" s="485"/>
      <c r="M111" s="476">
        <f t="shared" si="47"/>
        <v>0</v>
      </c>
      <c r="N111" s="485"/>
      <c r="O111" s="476">
        <f t="shared" si="29"/>
        <v>0</v>
      </c>
      <c r="P111" s="476">
        <f t="shared" si="30"/>
        <v>0</v>
      </c>
    </row>
    <row r="112" spans="1:16" ht="12.5">
      <c r="B112" s="160" t="str">
        <f t="shared" si="27"/>
        <v/>
      </c>
      <c r="C112" s="470">
        <f>IF(D93="","-",+C111+1)</f>
        <v>2027</v>
      </c>
      <c r="D112" s="345">
        <f>IF(F111+SUM(E$99:E111)=D$92,F111,D$92-SUM(E$99:E111))</f>
        <v>1561561.6666666665</v>
      </c>
      <c r="E112" s="482">
        <f t="shared" si="42"/>
        <v>59122</v>
      </c>
      <c r="F112" s="483">
        <f t="shared" si="43"/>
        <v>1502439.6666666665</v>
      </c>
      <c r="G112" s="483">
        <f t="shared" si="44"/>
        <v>1532000.6666666665</v>
      </c>
      <c r="H112" s="484">
        <f t="shared" si="45"/>
        <v>234117.92143232984</v>
      </c>
      <c r="I112" s="540">
        <f t="shared" si="46"/>
        <v>234117.92143232984</v>
      </c>
      <c r="J112" s="476">
        <f t="shared" si="28"/>
        <v>0</v>
      </c>
      <c r="K112" s="476"/>
      <c r="L112" s="485"/>
      <c r="M112" s="476">
        <f t="shared" si="47"/>
        <v>0</v>
      </c>
      <c r="N112" s="485"/>
      <c r="O112" s="476">
        <f t="shared" si="29"/>
        <v>0</v>
      </c>
      <c r="P112" s="476">
        <f t="shared" si="30"/>
        <v>0</v>
      </c>
    </row>
    <row r="113" spans="2:16" ht="12.5">
      <c r="B113" s="160" t="str">
        <f t="shared" si="27"/>
        <v/>
      </c>
      <c r="C113" s="470">
        <f>IF(D93="","-",+C112+1)</f>
        <v>2028</v>
      </c>
      <c r="D113" s="345">
        <f>IF(F112+SUM(E$99:E112)=D$92,F112,D$92-SUM(E$99:E112))</f>
        <v>1502439.6666666665</v>
      </c>
      <c r="E113" s="482">
        <f t="shared" si="42"/>
        <v>59122</v>
      </c>
      <c r="F113" s="483">
        <f t="shared" si="43"/>
        <v>1443317.6666666665</v>
      </c>
      <c r="G113" s="483">
        <f t="shared" si="44"/>
        <v>1472878.6666666665</v>
      </c>
      <c r="H113" s="484">
        <f t="shared" si="45"/>
        <v>227364.58960158509</v>
      </c>
      <c r="I113" s="540">
        <f t="shared" si="46"/>
        <v>227364.58960158509</v>
      </c>
      <c r="J113" s="476">
        <f t="shared" si="28"/>
        <v>0</v>
      </c>
      <c r="K113" s="476"/>
      <c r="L113" s="485"/>
      <c r="M113" s="476">
        <f t="shared" si="47"/>
        <v>0</v>
      </c>
      <c r="N113" s="485"/>
      <c r="O113" s="476">
        <f t="shared" si="29"/>
        <v>0</v>
      </c>
      <c r="P113" s="476">
        <f t="shared" si="30"/>
        <v>0</v>
      </c>
    </row>
    <row r="114" spans="2:16" ht="12.5">
      <c r="B114" s="160" t="str">
        <f t="shared" si="27"/>
        <v/>
      </c>
      <c r="C114" s="470">
        <f>IF(D93="","-",+C113+1)</f>
        <v>2029</v>
      </c>
      <c r="D114" s="345">
        <f>IF(F113+SUM(E$99:E113)=D$92,F113,D$92-SUM(E$99:E113))</f>
        <v>1443317.6666666665</v>
      </c>
      <c r="E114" s="482">
        <f t="shared" si="42"/>
        <v>59122</v>
      </c>
      <c r="F114" s="483">
        <f t="shared" si="43"/>
        <v>1384195.6666666665</v>
      </c>
      <c r="G114" s="483">
        <f t="shared" si="44"/>
        <v>1413756.6666666665</v>
      </c>
      <c r="H114" s="484">
        <f t="shared" si="45"/>
        <v>220611.25777084031</v>
      </c>
      <c r="I114" s="540">
        <f t="shared" si="46"/>
        <v>220611.25777084031</v>
      </c>
      <c r="J114" s="476">
        <f t="shared" si="28"/>
        <v>0</v>
      </c>
      <c r="K114" s="476"/>
      <c r="L114" s="485"/>
      <c r="M114" s="476">
        <f t="shared" si="47"/>
        <v>0</v>
      </c>
      <c r="N114" s="485"/>
      <c r="O114" s="476">
        <f t="shared" si="29"/>
        <v>0</v>
      </c>
      <c r="P114" s="476">
        <f t="shared" si="30"/>
        <v>0</v>
      </c>
    </row>
    <row r="115" spans="2:16" ht="12.5">
      <c r="B115" s="160" t="str">
        <f t="shared" si="27"/>
        <v/>
      </c>
      <c r="C115" s="470">
        <f>IF(D93="","-",+C114+1)</f>
        <v>2030</v>
      </c>
      <c r="D115" s="345">
        <f>IF(F114+SUM(E$99:E114)=D$92,F114,D$92-SUM(E$99:E114))</f>
        <v>1384195.6666666665</v>
      </c>
      <c r="E115" s="482">
        <f t="shared" si="42"/>
        <v>59122</v>
      </c>
      <c r="F115" s="483">
        <f t="shared" si="43"/>
        <v>1325073.6666666665</v>
      </c>
      <c r="G115" s="483">
        <f t="shared" si="44"/>
        <v>1354634.6666666665</v>
      </c>
      <c r="H115" s="484">
        <f t="shared" si="45"/>
        <v>213857.92594009553</v>
      </c>
      <c r="I115" s="540">
        <f t="shared" si="46"/>
        <v>213857.92594009553</v>
      </c>
      <c r="J115" s="476">
        <f t="shared" si="28"/>
        <v>0</v>
      </c>
      <c r="K115" s="476"/>
      <c r="L115" s="485"/>
      <c r="M115" s="476">
        <f t="shared" si="47"/>
        <v>0</v>
      </c>
      <c r="N115" s="485"/>
      <c r="O115" s="476">
        <f t="shared" si="29"/>
        <v>0</v>
      </c>
      <c r="P115" s="476">
        <f t="shared" si="30"/>
        <v>0</v>
      </c>
    </row>
    <row r="116" spans="2:16" ht="12.5">
      <c r="B116" s="160" t="str">
        <f t="shared" si="27"/>
        <v/>
      </c>
      <c r="C116" s="470">
        <f>IF(D93="","-",+C115+1)</f>
        <v>2031</v>
      </c>
      <c r="D116" s="345">
        <f>IF(F115+SUM(E$99:E115)=D$92,F115,D$92-SUM(E$99:E115))</f>
        <v>1325073.6666666665</v>
      </c>
      <c r="E116" s="482">
        <f t="shared" si="42"/>
        <v>59122</v>
      </c>
      <c r="F116" s="483">
        <f t="shared" si="43"/>
        <v>1265951.6666666665</v>
      </c>
      <c r="G116" s="483">
        <f t="shared" si="44"/>
        <v>1295512.6666666665</v>
      </c>
      <c r="H116" s="484">
        <f t="shared" si="45"/>
        <v>207104.59410935076</v>
      </c>
      <c r="I116" s="540">
        <f t="shared" si="46"/>
        <v>207104.59410935076</v>
      </c>
      <c r="J116" s="476">
        <f t="shared" si="28"/>
        <v>0</v>
      </c>
      <c r="K116" s="476"/>
      <c r="L116" s="485"/>
      <c r="M116" s="476">
        <f t="shared" si="47"/>
        <v>0</v>
      </c>
      <c r="N116" s="485"/>
      <c r="O116" s="476">
        <f t="shared" si="29"/>
        <v>0</v>
      </c>
      <c r="P116" s="476">
        <f t="shared" si="30"/>
        <v>0</v>
      </c>
    </row>
    <row r="117" spans="2:16" ht="12.5">
      <c r="B117" s="160" t="str">
        <f t="shared" si="27"/>
        <v/>
      </c>
      <c r="C117" s="470">
        <f>IF(D93="","-",+C116+1)</f>
        <v>2032</v>
      </c>
      <c r="D117" s="345">
        <f>IF(F116+SUM(E$99:E116)=D$92,F116,D$92-SUM(E$99:E116))</f>
        <v>1265951.6666666665</v>
      </c>
      <c r="E117" s="482">
        <f t="shared" si="42"/>
        <v>59122</v>
      </c>
      <c r="F117" s="483">
        <f t="shared" si="43"/>
        <v>1206829.6666666665</v>
      </c>
      <c r="G117" s="483">
        <f t="shared" si="44"/>
        <v>1236390.6666666665</v>
      </c>
      <c r="H117" s="484">
        <f t="shared" si="45"/>
        <v>200351.26227860601</v>
      </c>
      <c r="I117" s="540">
        <f t="shared" si="46"/>
        <v>200351.26227860601</v>
      </c>
      <c r="J117" s="476">
        <f t="shared" si="28"/>
        <v>0</v>
      </c>
      <c r="K117" s="476"/>
      <c r="L117" s="485"/>
      <c r="M117" s="476">
        <f t="shared" si="47"/>
        <v>0</v>
      </c>
      <c r="N117" s="485"/>
      <c r="O117" s="476">
        <f t="shared" si="29"/>
        <v>0</v>
      </c>
      <c r="P117" s="476">
        <f t="shared" si="30"/>
        <v>0</v>
      </c>
    </row>
    <row r="118" spans="2:16" ht="12.5">
      <c r="B118" s="160" t="str">
        <f t="shared" si="27"/>
        <v/>
      </c>
      <c r="C118" s="470">
        <f>IF(D93="","-",+C117+1)</f>
        <v>2033</v>
      </c>
      <c r="D118" s="345">
        <f>IF(F117+SUM(E$99:E117)=D$92,F117,D$92-SUM(E$99:E117))</f>
        <v>1206829.6666666665</v>
      </c>
      <c r="E118" s="482">
        <f t="shared" si="42"/>
        <v>59122</v>
      </c>
      <c r="F118" s="483">
        <f t="shared" si="43"/>
        <v>1147707.6666666665</v>
      </c>
      <c r="G118" s="483">
        <f t="shared" si="44"/>
        <v>1177268.6666666665</v>
      </c>
      <c r="H118" s="484">
        <f t="shared" si="45"/>
        <v>193597.93044786123</v>
      </c>
      <c r="I118" s="540">
        <f t="shared" si="46"/>
        <v>193597.93044786123</v>
      </c>
      <c r="J118" s="476">
        <f t="shared" si="28"/>
        <v>0</v>
      </c>
      <c r="K118" s="476"/>
      <c r="L118" s="485"/>
      <c r="M118" s="476">
        <f t="shared" si="47"/>
        <v>0</v>
      </c>
      <c r="N118" s="485"/>
      <c r="O118" s="476">
        <f t="shared" si="29"/>
        <v>0</v>
      </c>
      <c r="P118" s="476">
        <f t="shared" si="30"/>
        <v>0</v>
      </c>
    </row>
    <row r="119" spans="2:16" ht="12.5">
      <c r="B119" s="160" t="str">
        <f t="shared" si="27"/>
        <v/>
      </c>
      <c r="C119" s="470">
        <f>IF(D93="","-",+C118+1)</f>
        <v>2034</v>
      </c>
      <c r="D119" s="345">
        <f>IF(F118+SUM(E$99:E118)=D$92,F118,D$92-SUM(E$99:E118))</f>
        <v>1147707.6666666665</v>
      </c>
      <c r="E119" s="482">
        <f t="shared" si="42"/>
        <v>59122</v>
      </c>
      <c r="F119" s="483">
        <f t="shared" si="43"/>
        <v>1088585.6666666665</v>
      </c>
      <c r="G119" s="483">
        <f t="shared" si="44"/>
        <v>1118146.6666666665</v>
      </c>
      <c r="H119" s="484">
        <f t="shared" si="45"/>
        <v>186844.59861711645</v>
      </c>
      <c r="I119" s="540">
        <f t="shared" si="46"/>
        <v>186844.59861711645</v>
      </c>
      <c r="J119" s="476">
        <f t="shared" si="28"/>
        <v>0</v>
      </c>
      <c r="K119" s="476"/>
      <c r="L119" s="485"/>
      <c r="M119" s="476">
        <f t="shared" si="47"/>
        <v>0</v>
      </c>
      <c r="N119" s="485"/>
      <c r="O119" s="476">
        <f t="shared" si="29"/>
        <v>0</v>
      </c>
      <c r="P119" s="476">
        <f t="shared" si="30"/>
        <v>0</v>
      </c>
    </row>
    <row r="120" spans="2:16" ht="12.5">
      <c r="B120" s="160" t="str">
        <f t="shared" si="27"/>
        <v/>
      </c>
      <c r="C120" s="470">
        <f>IF(D93="","-",+C119+1)</f>
        <v>2035</v>
      </c>
      <c r="D120" s="345">
        <f>IF(F119+SUM(E$99:E119)=D$92,F119,D$92-SUM(E$99:E119))</f>
        <v>1088585.6666666665</v>
      </c>
      <c r="E120" s="482">
        <f t="shared" si="42"/>
        <v>59122</v>
      </c>
      <c r="F120" s="483">
        <f t="shared" si="43"/>
        <v>1029463.6666666665</v>
      </c>
      <c r="G120" s="483">
        <f t="shared" si="44"/>
        <v>1059024.6666666665</v>
      </c>
      <c r="H120" s="484">
        <f t="shared" si="45"/>
        <v>180091.26678637171</v>
      </c>
      <c r="I120" s="540">
        <f t="shared" si="46"/>
        <v>180091.26678637171</v>
      </c>
      <c r="J120" s="476">
        <f t="shared" si="28"/>
        <v>0</v>
      </c>
      <c r="K120" s="476"/>
      <c r="L120" s="485"/>
      <c r="M120" s="476">
        <f t="shared" si="47"/>
        <v>0</v>
      </c>
      <c r="N120" s="485"/>
      <c r="O120" s="476">
        <f t="shared" si="29"/>
        <v>0</v>
      </c>
      <c r="P120" s="476">
        <f t="shared" si="30"/>
        <v>0</v>
      </c>
    </row>
    <row r="121" spans="2:16" ht="12.5">
      <c r="B121" s="160" t="str">
        <f t="shared" si="27"/>
        <v/>
      </c>
      <c r="C121" s="470">
        <f>IF(D93="","-",+C120+1)</f>
        <v>2036</v>
      </c>
      <c r="D121" s="345">
        <f>IF(F120+SUM(E$99:E120)=D$92,F120,D$92-SUM(E$99:E120))</f>
        <v>1029463.6666666665</v>
      </c>
      <c r="E121" s="482">
        <f t="shared" si="42"/>
        <v>59122</v>
      </c>
      <c r="F121" s="483">
        <f t="shared" si="43"/>
        <v>970341.66666666651</v>
      </c>
      <c r="G121" s="483">
        <f t="shared" si="44"/>
        <v>999902.66666666651</v>
      </c>
      <c r="H121" s="484">
        <f t="shared" si="45"/>
        <v>173337.93495562693</v>
      </c>
      <c r="I121" s="540">
        <f t="shared" si="46"/>
        <v>173337.93495562693</v>
      </c>
      <c r="J121" s="476">
        <f t="shared" si="28"/>
        <v>0</v>
      </c>
      <c r="K121" s="476"/>
      <c r="L121" s="485"/>
      <c r="M121" s="476">
        <f t="shared" si="47"/>
        <v>0</v>
      </c>
      <c r="N121" s="485"/>
      <c r="O121" s="476">
        <f t="shared" si="29"/>
        <v>0</v>
      </c>
      <c r="P121" s="476">
        <f t="shared" si="30"/>
        <v>0</v>
      </c>
    </row>
    <row r="122" spans="2:16" ht="12.5">
      <c r="B122" s="160" t="str">
        <f t="shared" si="27"/>
        <v/>
      </c>
      <c r="C122" s="470">
        <f>IF(D93="","-",+C121+1)</f>
        <v>2037</v>
      </c>
      <c r="D122" s="345">
        <f>IF(F121+SUM(E$99:E121)=D$92,F121,D$92-SUM(E$99:E121))</f>
        <v>970341.66666666651</v>
      </c>
      <c r="E122" s="482">
        <f t="shared" si="42"/>
        <v>59122</v>
      </c>
      <c r="F122" s="483">
        <f t="shared" si="43"/>
        <v>911219.66666666651</v>
      </c>
      <c r="G122" s="483">
        <f t="shared" si="44"/>
        <v>940780.66666666651</v>
      </c>
      <c r="H122" s="484">
        <f t="shared" si="45"/>
        <v>166584.60312488215</v>
      </c>
      <c r="I122" s="540">
        <f t="shared" si="46"/>
        <v>166584.60312488215</v>
      </c>
      <c r="J122" s="476">
        <f t="shared" si="28"/>
        <v>0</v>
      </c>
      <c r="K122" s="476"/>
      <c r="L122" s="485"/>
      <c r="M122" s="476">
        <f t="shared" si="47"/>
        <v>0</v>
      </c>
      <c r="N122" s="485"/>
      <c r="O122" s="476">
        <f t="shared" si="29"/>
        <v>0</v>
      </c>
      <c r="P122" s="476">
        <f t="shared" si="30"/>
        <v>0</v>
      </c>
    </row>
    <row r="123" spans="2:16" ht="12.5">
      <c r="B123" s="160" t="str">
        <f t="shared" si="27"/>
        <v/>
      </c>
      <c r="C123" s="470">
        <f>IF(D93="","-",+C122+1)</f>
        <v>2038</v>
      </c>
      <c r="D123" s="345">
        <f>IF(F122+SUM(E$99:E122)=D$92,F122,D$92-SUM(E$99:E122))</f>
        <v>911219.66666666651</v>
      </c>
      <c r="E123" s="482">
        <f t="shared" si="42"/>
        <v>59122</v>
      </c>
      <c r="F123" s="483">
        <f t="shared" si="43"/>
        <v>852097.66666666651</v>
      </c>
      <c r="G123" s="483">
        <f t="shared" si="44"/>
        <v>881658.66666666651</v>
      </c>
      <c r="H123" s="484">
        <f t="shared" si="45"/>
        <v>159831.2712941374</v>
      </c>
      <c r="I123" s="540">
        <f t="shared" si="46"/>
        <v>159831.2712941374</v>
      </c>
      <c r="J123" s="476">
        <f t="shared" si="28"/>
        <v>0</v>
      </c>
      <c r="K123" s="476"/>
      <c r="L123" s="485"/>
      <c r="M123" s="476">
        <f t="shared" si="47"/>
        <v>0</v>
      </c>
      <c r="N123" s="485"/>
      <c r="O123" s="476">
        <f t="shared" si="29"/>
        <v>0</v>
      </c>
      <c r="P123" s="476">
        <f t="shared" si="30"/>
        <v>0</v>
      </c>
    </row>
    <row r="124" spans="2:16" ht="12.5">
      <c r="B124" s="160" t="str">
        <f t="shared" si="27"/>
        <v/>
      </c>
      <c r="C124" s="470">
        <f>IF(D93="","-",+C123+1)</f>
        <v>2039</v>
      </c>
      <c r="D124" s="345">
        <f>IF(F123+SUM(E$99:E123)=D$92,F123,D$92-SUM(E$99:E123))</f>
        <v>852097.66666666651</v>
      </c>
      <c r="E124" s="482">
        <f t="shared" si="42"/>
        <v>59122</v>
      </c>
      <c r="F124" s="483">
        <f t="shared" si="43"/>
        <v>792975.66666666651</v>
      </c>
      <c r="G124" s="483">
        <f t="shared" si="44"/>
        <v>822536.66666666651</v>
      </c>
      <c r="H124" s="484">
        <f t="shared" si="45"/>
        <v>153077.9394633926</v>
      </c>
      <c r="I124" s="540">
        <f t="shared" si="46"/>
        <v>153077.9394633926</v>
      </c>
      <c r="J124" s="476">
        <f t="shared" si="28"/>
        <v>0</v>
      </c>
      <c r="K124" s="476"/>
      <c r="L124" s="485"/>
      <c r="M124" s="476">
        <f t="shared" si="47"/>
        <v>0</v>
      </c>
      <c r="N124" s="485"/>
      <c r="O124" s="476">
        <f t="shared" si="29"/>
        <v>0</v>
      </c>
      <c r="P124" s="476">
        <f t="shared" si="30"/>
        <v>0</v>
      </c>
    </row>
    <row r="125" spans="2:16" ht="12.5">
      <c r="B125" s="160" t="str">
        <f t="shared" si="27"/>
        <v/>
      </c>
      <c r="C125" s="470">
        <f>IF(D93="","-",+C124+1)</f>
        <v>2040</v>
      </c>
      <c r="D125" s="345">
        <f>IF(F124+SUM(E$99:E124)=D$92,F124,D$92-SUM(E$99:E124))</f>
        <v>792975.66666666651</v>
      </c>
      <c r="E125" s="482">
        <f t="shared" si="42"/>
        <v>59122</v>
      </c>
      <c r="F125" s="483">
        <f t="shared" si="43"/>
        <v>733853.66666666651</v>
      </c>
      <c r="G125" s="483">
        <f t="shared" si="44"/>
        <v>763414.66666666651</v>
      </c>
      <c r="H125" s="484">
        <f t="shared" si="45"/>
        <v>146324.60763264785</v>
      </c>
      <c r="I125" s="540">
        <f t="shared" si="46"/>
        <v>146324.60763264785</v>
      </c>
      <c r="J125" s="476">
        <f t="shared" si="28"/>
        <v>0</v>
      </c>
      <c r="K125" s="476"/>
      <c r="L125" s="485"/>
      <c r="M125" s="476">
        <f t="shared" si="47"/>
        <v>0</v>
      </c>
      <c r="N125" s="485"/>
      <c r="O125" s="476">
        <f t="shared" si="29"/>
        <v>0</v>
      </c>
      <c r="P125" s="476">
        <f t="shared" si="30"/>
        <v>0</v>
      </c>
    </row>
    <row r="126" spans="2:16" ht="12.5">
      <c r="B126" s="160" t="str">
        <f t="shared" si="27"/>
        <v/>
      </c>
      <c r="C126" s="470">
        <f>IF(D93="","-",+C125+1)</f>
        <v>2041</v>
      </c>
      <c r="D126" s="345">
        <f>IF(F125+SUM(E$99:E125)=D$92,F125,D$92-SUM(E$99:E125))</f>
        <v>733853.66666666651</v>
      </c>
      <c r="E126" s="482">
        <f t="shared" si="42"/>
        <v>59122</v>
      </c>
      <c r="F126" s="483">
        <f t="shared" si="43"/>
        <v>674731.66666666651</v>
      </c>
      <c r="G126" s="483">
        <f t="shared" si="44"/>
        <v>704292.66666666651</v>
      </c>
      <c r="H126" s="484">
        <f t="shared" si="45"/>
        <v>139571.2758019031</v>
      </c>
      <c r="I126" s="540">
        <f t="shared" si="46"/>
        <v>139571.2758019031</v>
      </c>
      <c r="J126" s="476">
        <f t="shared" si="28"/>
        <v>0</v>
      </c>
      <c r="K126" s="476"/>
      <c r="L126" s="485"/>
      <c r="M126" s="476">
        <f t="shared" si="47"/>
        <v>0</v>
      </c>
      <c r="N126" s="485"/>
      <c r="O126" s="476">
        <f t="shared" si="29"/>
        <v>0</v>
      </c>
      <c r="P126" s="476">
        <f t="shared" si="30"/>
        <v>0</v>
      </c>
    </row>
    <row r="127" spans="2:16" ht="12.5">
      <c r="B127" s="160" t="str">
        <f t="shared" si="27"/>
        <v/>
      </c>
      <c r="C127" s="470">
        <f>IF(D93="","-",+C126+1)</f>
        <v>2042</v>
      </c>
      <c r="D127" s="345">
        <f>IF(F126+SUM(E$99:E126)=D$92,F126,D$92-SUM(E$99:E126))</f>
        <v>674731.66666666651</v>
      </c>
      <c r="E127" s="482">
        <f t="shared" si="42"/>
        <v>59122</v>
      </c>
      <c r="F127" s="483">
        <f t="shared" si="43"/>
        <v>615609.66666666651</v>
      </c>
      <c r="G127" s="483">
        <f t="shared" si="44"/>
        <v>645170.66666666651</v>
      </c>
      <c r="H127" s="484">
        <f t="shared" si="45"/>
        <v>132817.9439711583</v>
      </c>
      <c r="I127" s="540">
        <f t="shared" si="46"/>
        <v>132817.9439711583</v>
      </c>
      <c r="J127" s="476">
        <f t="shared" si="28"/>
        <v>0</v>
      </c>
      <c r="K127" s="476"/>
      <c r="L127" s="485"/>
      <c r="M127" s="476">
        <f t="shared" si="47"/>
        <v>0</v>
      </c>
      <c r="N127" s="485"/>
      <c r="O127" s="476">
        <f t="shared" si="29"/>
        <v>0</v>
      </c>
      <c r="P127" s="476">
        <f t="shared" si="30"/>
        <v>0</v>
      </c>
    </row>
    <row r="128" spans="2:16" ht="12.5">
      <c r="B128" s="160" t="str">
        <f t="shared" si="27"/>
        <v/>
      </c>
      <c r="C128" s="470">
        <f>IF(D93="","-",+C127+1)</f>
        <v>2043</v>
      </c>
      <c r="D128" s="345">
        <f>IF(F127+SUM(E$99:E127)=D$92,F127,D$92-SUM(E$99:E127))</f>
        <v>615609.66666666651</v>
      </c>
      <c r="E128" s="482">
        <f t="shared" si="42"/>
        <v>59122</v>
      </c>
      <c r="F128" s="483">
        <f t="shared" si="43"/>
        <v>556487.66666666651</v>
      </c>
      <c r="G128" s="483">
        <f t="shared" si="44"/>
        <v>586048.66666666651</v>
      </c>
      <c r="H128" s="484">
        <f t="shared" si="45"/>
        <v>126064.61214041355</v>
      </c>
      <c r="I128" s="540">
        <f t="shared" si="46"/>
        <v>126064.61214041355</v>
      </c>
      <c r="J128" s="476">
        <f t="shared" si="28"/>
        <v>0</v>
      </c>
      <c r="K128" s="476"/>
      <c r="L128" s="485"/>
      <c r="M128" s="476">
        <f t="shared" si="47"/>
        <v>0</v>
      </c>
      <c r="N128" s="485"/>
      <c r="O128" s="476">
        <f t="shared" si="29"/>
        <v>0</v>
      </c>
      <c r="P128" s="476">
        <f t="shared" si="30"/>
        <v>0</v>
      </c>
    </row>
    <row r="129" spans="2:16" ht="12.5">
      <c r="B129" s="160" t="str">
        <f t="shared" si="27"/>
        <v/>
      </c>
      <c r="C129" s="470">
        <f>IF(D93="","-",+C128+1)</f>
        <v>2044</v>
      </c>
      <c r="D129" s="345">
        <f>IF(F128+SUM(E$99:E128)=D$92,F128,D$92-SUM(E$99:E128))</f>
        <v>556487.66666666651</v>
      </c>
      <c r="E129" s="482">
        <f t="shared" si="42"/>
        <v>59122</v>
      </c>
      <c r="F129" s="483">
        <f t="shared" si="43"/>
        <v>497365.66666666651</v>
      </c>
      <c r="G129" s="483">
        <f t="shared" si="44"/>
        <v>526926.66666666651</v>
      </c>
      <c r="H129" s="484">
        <f t="shared" si="45"/>
        <v>119311.28030966877</v>
      </c>
      <c r="I129" s="540">
        <f t="shared" si="46"/>
        <v>119311.28030966877</v>
      </c>
      <c r="J129" s="476">
        <f t="shared" si="28"/>
        <v>0</v>
      </c>
      <c r="K129" s="476"/>
      <c r="L129" s="485"/>
      <c r="M129" s="476">
        <f t="shared" si="47"/>
        <v>0</v>
      </c>
      <c r="N129" s="485"/>
      <c r="O129" s="476">
        <f t="shared" si="29"/>
        <v>0</v>
      </c>
      <c r="P129" s="476">
        <f t="shared" si="30"/>
        <v>0</v>
      </c>
    </row>
    <row r="130" spans="2:16" ht="12.5">
      <c r="B130" s="160" t="str">
        <f t="shared" si="27"/>
        <v/>
      </c>
      <c r="C130" s="470">
        <f>IF(D93="","-",+C129+1)</f>
        <v>2045</v>
      </c>
      <c r="D130" s="345">
        <f>IF(F129+SUM(E$99:E129)=D$92,F129,D$92-SUM(E$99:E129))</f>
        <v>497365.66666666651</v>
      </c>
      <c r="E130" s="482">
        <f t="shared" si="42"/>
        <v>59122</v>
      </c>
      <c r="F130" s="483">
        <f t="shared" si="43"/>
        <v>438243.66666666651</v>
      </c>
      <c r="G130" s="483">
        <f t="shared" si="44"/>
        <v>467804.66666666651</v>
      </c>
      <c r="H130" s="484">
        <f t="shared" si="45"/>
        <v>112557.94847892401</v>
      </c>
      <c r="I130" s="540">
        <f t="shared" si="46"/>
        <v>112557.94847892401</v>
      </c>
      <c r="J130" s="476">
        <f t="shared" si="28"/>
        <v>0</v>
      </c>
      <c r="K130" s="476"/>
      <c r="L130" s="485"/>
      <c r="M130" s="476">
        <f t="shared" si="47"/>
        <v>0</v>
      </c>
      <c r="N130" s="485"/>
      <c r="O130" s="476">
        <f t="shared" si="29"/>
        <v>0</v>
      </c>
      <c r="P130" s="476">
        <f t="shared" si="30"/>
        <v>0</v>
      </c>
    </row>
    <row r="131" spans="2:16" ht="12.5">
      <c r="B131" s="160" t="str">
        <f t="shared" si="27"/>
        <v/>
      </c>
      <c r="C131" s="470">
        <f>IF(D93="","-",+C130+1)</f>
        <v>2046</v>
      </c>
      <c r="D131" s="345">
        <f>IF(F130+SUM(E$99:E130)=D$92,F130,D$92-SUM(E$99:E130))</f>
        <v>438243.66666666651</v>
      </c>
      <c r="E131" s="482">
        <f t="shared" si="42"/>
        <v>59122</v>
      </c>
      <c r="F131" s="483">
        <f t="shared" si="43"/>
        <v>379121.66666666651</v>
      </c>
      <c r="G131" s="483">
        <f t="shared" si="44"/>
        <v>408682.66666666651</v>
      </c>
      <c r="H131" s="484">
        <f t="shared" si="45"/>
        <v>105804.61664817925</v>
      </c>
      <c r="I131" s="540">
        <f t="shared" si="46"/>
        <v>105804.61664817925</v>
      </c>
      <c r="J131" s="476">
        <f t="shared" si="28"/>
        <v>0</v>
      </c>
      <c r="K131" s="476"/>
      <c r="L131" s="485"/>
      <c r="M131" s="476">
        <f t="shared" ref="M131:M154" si="48">IF(L541&lt;&gt;0,+H541-L541,0)</f>
        <v>0</v>
      </c>
      <c r="N131" s="485"/>
      <c r="O131" s="476">
        <f t="shared" ref="O131:O154" si="49">IF(N541&lt;&gt;0,+I541-N541,0)</f>
        <v>0</v>
      </c>
      <c r="P131" s="476">
        <f t="shared" ref="P131:P154" si="50">+O541-M541</f>
        <v>0</v>
      </c>
    </row>
    <row r="132" spans="2:16" ht="12.5">
      <c r="B132" s="160" t="str">
        <f t="shared" si="27"/>
        <v/>
      </c>
      <c r="C132" s="470">
        <f>IF(D93="","-",+C131+1)</f>
        <v>2047</v>
      </c>
      <c r="D132" s="345">
        <f>IF(F131+SUM(E$99:E131)=D$92,F131,D$92-SUM(E$99:E131))</f>
        <v>379121.66666666651</v>
      </c>
      <c r="E132" s="482">
        <f t="shared" si="42"/>
        <v>59122</v>
      </c>
      <c r="F132" s="483">
        <f t="shared" si="43"/>
        <v>319999.66666666651</v>
      </c>
      <c r="G132" s="483">
        <f t="shared" si="44"/>
        <v>349560.66666666651</v>
      </c>
      <c r="H132" s="484">
        <f t="shared" si="45"/>
        <v>99051.284817434469</v>
      </c>
      <c r="I132" s="540">
        <f t="shared" si="46"/>
        <v>99051.284817434469</v>
      </c>
      <c r="J132" s="476">
        <f t="shared" si="28"/>
        <v>0</v>
      </c>
      <c r="K132" s="476"/>
      <c r="L132" s="485"/>
      <c r="M132" s="476">
        <f t="shared" si="48"/>
        <v>0</v>
      </c>
      <c r="N132" s="485"/>
      <c r="O132" s="476">
        <f t="shared" si="49"/>
        <v>0</v>
      </c>
      <c r="P132" s="476">
        <f t="shared" si="50"/>
        <v>0</v>
      </c>
    </row>
    <row r="133" spans="2:16" ht="12.5">
      <c r="B133" s="160" t="str">
        <f t="shared" si="27"/>
        <v/>
      </c>
      <c r="C133" s="470">
        <f>IF(D93="","-",+C132+1)</f>
        <v>2048</v>
      </c>
      <c r="D133" s="345">
        <f>IF(F132+SUM(E$99:E132)=D$92,F132,D$92-SUM(E$99:E132))</f>
        <v>319999.66666666651</v>
      </c>
      <c r="E133" s="482">
        <f t="shared" si="42"/>
        <v>59122</v>
      </c>
      <c r="F133" s="483">
        <f t="shared" si="43"/>
        <v>260877.66666666651</v>
      </c>
      <c r="G133" s="483">
        <f t="shared" si="44"/>
        <v>290438.66666666651</v>
      </c>
      <c r="H133" s="484">
        <f t="shared" si="45"/>
        <v>92297.952986689692</v>
      </c>
      <c r="I133" s="540">
        <f t="shared" si="46"/>
        <v>92297.952986689692</v>
      </c>
      <c r="J133" s="476">
        <f t="shared" si="28"/>
        <v>0</v>
      </c>
      <c r="K133" s="476"/>
      <c r="L133" s="485"/>
      <c r="M133" s="476">
        <f t="shared" si="48"/>
        <v>0</v>
      </c>
      <c r="N133" s="485"/>
      <c r="O133" s="476">
        <f t="shared" si="49"/>
        <v>0</v>
      </c>
      <c r="P133" s="476">
        <f t="shared" si="50"/>
        <v>0</v>
      </c>
    </row>
    <row r="134" spans="2:16" ht="12.5">
      <c r="B134" s="160" t="str">
        <f t="shared" si="27"/>
        <v/>
      </c>
      <c r="C134" s="470">
        <f>IF(D93="","-",+C133+1)</f>
        <v>2049</v>
      </c>
      <c r="D134" s="345">
        <f>IF(F133+SUM(E$99:E133)=D$92,F133,D$92-SUM(E$99:E133))</f>
        <v>260877.66666666651</v>
      </c>
      <c r="E134" s="482">
        <f t="shared" si="42"/>
        <v>59122</v>
      </c>
      <c r="F134" s="483">
        <f t="shared" si="43"/>
        <v>201755.66666666651</v>
      </c>
      <c r="G134" s="483">
        <f t="shared" si="44"/>
        <v>231316.66666666651</v>
      </c>
      <c r="H134" s="484">
        <f t="shared" si="45"/>
        <v>85544.621155944929</v>
      </c>
      <c r="I134" s="540">
        <f t="shared" si="46"/>
        <v>85544.621155944929</v>
      </c>
      <c r="J134" s="476">
        <f t="shared" si="28"/>
        <v>0</v>
      </c>
      <c r="K134" s="476"/>
      <c r="L134" s="485"/>
      <c r="M134" s="476">
        <f t="shared" si="48"/>
        <v>0</v>
      </c>
      <c r="N134" s="485"/>
      <c r="O134" s="476">
        <f t="shared" si="49"/>
        <v>0</v>
      </c>
      <c r="P134" s="476">
        <f t="shared" si="50"/>
        <v>0</v>
      </c>
    </row>
    <row r="135" spans="2:16" ht="12.5">
      <c r="B135" s="160" t="str">
        <f t="shared" si="27"/>
        <v/>
      </c>
      <c r="C135" s="470">
        <f>IF(D93="","-",+C134+1)</f>
        <v>2050</v>
      </c>
      <c r="D135" s="345">
        <f>IF(F134+SUM(E$99:E134)=D$92,F134,D$92-SUM(E$99:E134))</f>
        <v>201755.66666666651</v>
      </c>
      <c r="E135" s="482">
        <f t="shared" si="42"/>
        <v>59122</v>
      </c>
      <c r="F135" s="483">
        <f t="shared" si="43"/>
        <v>142633.66666666651</v>
      </c>
      <c r="G135" s="483">
        <f t="shared" si="44"/>
        <v>172194.66666666651</v>
      </c>
      <c r="H135" s="484">
        <f t="shared" si="45"/>
        <v>78791.289325200167</v>
      </c>
      <c r="I135" s="540">
        <f t="shared" si="46"/>
        <v>78791.289325200167</v>
      </c>
      <c r="J135" s="476">
        <f t="shared" si="28"/>
        <v>0</v>
      </c>
      <c r="K135" s="476"/>
      <c r="L135" s="485"/>
      <c r="M135" s="476">
        <f t="shared" si="48"/>
        <v>0</v>
      </c>
      <c r="N135" s="485"/>
      <c r="O135" s="476">
        <f t="shared" si="49"/>
        <v>0</v>
      </c>
      <c r="P135" s="476">
        <f t="shared" si="50"/>
        <v>0</v>
      </c>
    </row>
    <row r="136" spans="2:16" ht="12.5">
      <c r="B136" s="160" t="str">
        <f t="shared" si="27"/>
        <v/>
      </c>
      <c r="C136" s="470">
        <f>IF(D93="","-",+C135+1)</f>
        <v>2051</v>
      </c>
      <c r="D136" s="345">
        <f>IF(F135+SUM(E$99:E135)=D$92,F135,D$92-SUM(E$99:E135))</f>
        <v>142633.66666666651</v>
      </c>
      <c r="E136" s="482">
        <f t="shared" si="42"/>
        <v>59122</v>
      </c>
      <c r="F136" s="483">
        <f t="shared" si="43"/>
        <v>83511.666666666511</v>
      </c>
      <c r="G136" s="483">
        <f t="shared" si="44"/>
        <v>113072.66666666651</v>
      </c>
      <c r="H136" s="484">
        <f t="shared" si="45"/>
        <v>72037.95749445539</v>
      </c>
      <c r="I136" s="540">
        <f t="shared" si="46"/>
        <v>72037.95749445539</v>
      </c>
      <c r="J136" s="476">
        <f t="shared" si="28"/>
        <v>0</v>
      </c>
      <c r="K136" s="476"/>
      <c r="L136" s="485"/>
      <c r="M136" s="476">
        <f t="shared" si="48"/>
        <v>0</v>
      </c>
      <c r="N136" s="485"/>
      <c r="O136" s="476">
        <f t="shared" si="49"/>
        <v>0</v>
      </c>
      <c r="P136" s="476">
        <f t="shared" si="50"/>
        <v>0</v>
      </c>
    </row>
    <row r="137" spans="2:16" ht="12.5">
      <c r="B137" s="160" t="str">
        <f t="shared" si="27"/>
        <v/>
      </c>
      <c r="C137" s="470">
        <f>IF(D93="","-",+C136+1)</f>
        <v>2052</v>
      </c>
      <c r="D137" s="345">
        <f>IF(F136+SUM(E$99:E136)=D$92,F136,D$92-SUM(E$99:E136))</f>
        <v>83511.666666666511</v>
      </c>
      <c r="E137" s="482">
        <f t="shared" si="42"/>
        <v>59122</v>
      </c>
      <c r="F137" s="483">
        <f t="shared" si="43"/>
        <v>24389.666666666511</v>
      </c>
      <c r="G137" s="483">
        <f t="shared" si="44"/>
        <v>53950.666666666511</v>
      </c>
      <c r="H137" s="484">
        <f t="shared" si="45"/>
        <v>65284.625663710627</v>
      </c>
      <c r="I137" s="540">
        <f t="shared" si="46"/>
        <v>65284.625663710627</v>
      </c>
      <c r="J137" s="476">
        <f t="shared" si="28"/>
        <v>0</v>
      </c>
      <c r="K137" s="476"/>
      <c r="L137" s="485"/>
      <c r="M137" s="476">
        <f t="shared" si="48"/>
        <v>0</v>
      </c>
      <c r="N137" s="485"/>
      <c r="O137" s="476">
        <f t="shared" si="49"/>
        <v>0</v>
      </c>
      <c r="P137" s="476">
        <f t="shared" si="50"/>
        <v>0</v>
      </c>
    </row>
    <row r="138" spans="2:16" ht="12.5">
      <c r="B138" s="160" t="str">
        <f t="shared" si="27"/>
        <v/>
      </c>
      <c r="C138" s="470">
        <f>IF(D93="","-",+C137+1)</f>
        <v>2053</v>
      </c>
      <c r="D138" s="345">
        <f>IF(F137+SUM(E$99:E137)=D$92,F137,D$92-SUM(E$99:E137))</f>
        <v>24389.666666666511</v>
      </c>
      <c r="E138" s="482">
        <f t="shared" si="42"/>
        <v>24389.666666666511</v>
      </c>
      <c r="F138" s="483">
        <f t="shared" si="43"/>
        <v>0</v>
      </c>
      <c r="G138" s="483">
        <f t="shared" si="44"/>
        <v>12194.833333333256</v>
      </c>
      <c r="H138" s="484">
        <f t="shared" si="45"/>
        <v>25782.646540835634</v>
      </c>
      <c r="I138" s="540">
        <f t="shared" si="46"/>
        <v>25782.646540835634</v>
      </c>
      <c r="J138" s="476">
        <f t="shared" si="28"/>
        <v>0</v>
      </c>
      <c r="K138" s="476"/>
      <c r="L138" s="485"/>
      <c r="M138" s="476">
        <f t="shared" si="48"/>
        <v>0</v>
      </c>
      <c r="N138" s="485"/>
      <c r="O138" s="476">
        <f t="shared" si="49"/>
        <v>0</v>
      </c>
      <c r="P138" s="476">
        <f t="shared" si="50"/>
        <v>0</v>
      </c>
    </row>
    <row r="139" spans="2:16" ht="12.5">
      <c r="B139" s="160" t="str">
        <f t="shared" si="27"/>
        <v/>
      </c>
      <c r="C139" s="470">
        <f>IF(D93="","-",+C138+1)</f>
        <v>2054</v>
      </c>
      <c r="D139" s="345">
        <f>IF(F138+SUM(E$99:E138)=D$92,F138,D$92-SUM(E$99:E138))</f>
        <v>0</v>
      </c>
      <c r="E139" s="482">
        <f t="shared" si="42"/>
        <v>0</v>
      </c>
      <c r="F139" s="483">
        <f t="shared" si="43"/>
        <v>0</v>
      </c>
      <c r="G139" s="483">
        <f t="shared" si="44"/>
        <v>0</v>
      </c>
      <c r="H139" s="484">
        <f t="shared" si="45"/>
        <v>0</v>
      </c>
      <c r="I139" s="540">
        <f t="shared" si="46"/>
        <v>0</v>
      </c>
      <c r="J139" s="476">
        <f t="shared" si="28"/>
        <v>0</v>
      </c>
      <c r="K139" s="476"/>
      <c r="L139" s="485"/>
      <c r="M139" s="476">
        <f t="shared" si="48"/>
        <v>0</v>
      </c>
      <c r="N139" s="485"/>
      <c r="O139" s="476">
        <f t="shared" si="49"/>
        <v>0</v>
      </c>
      <c r="P139" s="476">
        <f t="shared" si="50"/>
        <v>0</v>
      </c>
    </row>
    <row r="140" spans="2:16" ht="12.5">
      <c r="B140" s="160" t="str">
        <f t="shared" si="27"/>
        <v/>
      </c>
      <c r="C140" s="470">
        <f>IF(D93="","-",+C139+1)</f>
        <v>2055</v>
      </c>
      <c r="D140" s="345">
        <f>IF(F139+SUM(E$99:E139)=D$92,F139,D$92-SUM(E$99:E139))</f>
        <v>0</v>
      </c>
      <c r="E140" s="482">
        <f t="shared" si="42"/>
        <v>0</v>
      </c>
      <c r="F140" s="483">
        <f t="shared" si="43"/>
        <v>0</v>
      </c>
      <c r="G140" s="483">
        <f t="shared" si="44"/>
        <v>0</v>
      </c>
      <c r="H140" s="484">
        <f t="shared" si="45"/>
        <v>0</v>
      </c>
      <c r="I140" s="540">
        <f t="shared" si="46"/>
        <v>0</v>
      </c>
      <c r="J140" s="476">
        <f t="shared" si="28"/>
        <v>0</v>
      </c>
      <c r="K140" s="476"/>
      <c r="L140" s="485"/>
      <c r="M140" s="476">
        <f t="shared" si="48"/>
        <v>0</v>
      </c>
      <c r="N140" s="485"/>
      <c r="O140" s="476">
        <f t="shared" si="49"/>
        <v>0</v>
      </c>
      <c r="P140" s="476">
        <f t="shared" si="50"/>
        <v>0</v>
      </c>
    </row>
    <row r="141" spans="2:16" ht="12.5">
      <c r="B141" s="160" t="str">
        <f t="shared" si="27"/>
        <v/>
      </c>
      <c r="C141" s="470">
        <f>IF(D93="","-",+C140+1)</f>
        <v>2056</v>
      </c>
      <c r="D141" s="345">
        <f>IF(F140+SUM(E$99:E140)=D$92,F140,D$92-SUM(E$99:E140))</f>
        <v>0</v>
      </c>
      <c r="E141" s="482">
        <f t="shared" si="42"/>
        <v>0</v>
      </c>
      <c r="F141" s="483">
        <f t="shared" si="43"/>
        <v>0</v>
      </c>
      <c r="G141" s="483">
        <f t="shared" si="44"/>
        <v>0</v>
      </c>
      <c r="H141" s="484">
        <f t="shared" si="45"/>
        <v>0</v>
      </c>
      <c r="I141" s="540">
        <f t="shared" si="46"/>
        <v>0</v>
      </c>
      <c r="J141" s="476">
        <f t="shared" si="28"/>
        <v>0</v>
      </c>
      <c r="K141" s="476"/>
      <c r="L141" s="485"/>
      <c r="M141" s="476">
        <f t="shared" si="48"/>
        <v>0</v>
      </c>
      <c r="N141" s="485"/>
      <c r="O141" s="476">
        <f t="shared" si="49"/>
        <v>0</v>
      </c>
      <c r="P141" s="476">
        <f t="shared" si="50"/>
        <v>0</v>
      </c>
    </row>
    <row r="142" spans="2:16" ht="12.5">
      <c r="B142" s="160" t="str">
        <f t="shared" si="27"/>
        <v/>
      </c>
      <c r="C142" s="470">
        <f>IF(D93="","-",+C141+1)</f>
        <v>2057</v>
      </c>
      <c r="D142" s="345">
        <f>IF(F141+SUM(E$99:E141)=D$92,F141,D$92-SUM(E$99:E141))</f>
        <v>0</v>
      </c>
      <c r="E142" s="482">
        <f t="shared" si="42"/>
        <v>0</v>
      </c>
      <c r="F142" s="483">
        <f t="shared" si="43"/>
        <v>0</v>
      </c>
      <c r="G142" s="483">
        <f t="shared" si="44"/>
        <v>0</v>
      </c>
      <c r="H142" s="484">
        <f t="shared" si="45"/>
        <v>0</v>
      </c>
      <c r="I142" s="540">
        <f t="shared" si="46"/>
        <v>0</v>
      </c>
      <c r="J142" s="476">
        <f t="shared" si="28"/>
        <v>0</v>
      </c>
      <c r="K142" s="476"/>
      <c r="L142" s="485"/>
      <c r="M142" s="476">
        <f t="shared" si="48"/>
        <v>0</v>
      </c>
      <c r="N142" s="485"/>
      <c r="O142" s="476">
        <f t="shared" si="49"/>
        <v>0</v>
      </c>
      <c r="P142" s="476">
        <f t="shared" si="50"/>
        <v>0</v>
      </c>
    </row>
    <row r="143" spans="2:16" ht="12.5">
      <c r="B143" s="160" t="str">
        <f t="shared" si="27"/>
        <v/>
      </c>
      <c r="C143" s="470">
        <f>IF(D93="","-",+C142+1)</f>
        <v>2058</v>
      </c>
      <c r="D143" s="345">
        <f>IF(F142+SUM(E$99:E142)=D$92,F142,D$92-SUM(E$99:E142))</f>
        <v>0</v>
      </c>
      <c r="E143" s="482">
        <f t="shared" si="42"/>
        <v>0</v>
      </c>
      <c r="F143" s="483">
        <f t="shared" si="43"/>
        <v>0</v>
      </c>
      <c r="G143" s="483">
        <f t="shared" si="44"/>
        <v>0</v>
      </c>
      <c r="H143" s="484">
        <f t="shared" si="45"/>
        <v>0</v>
      </c>
      <c r="I143" s="540">
        <f t="shared" si="46"/>
        <v>0</v>
      </c>
      <c r="J143" s="476">
        <f t="shared" si="28"/>
        <v>0</v>
      </c>
      <c r="K143" s="476"/>
      <c r="L143" s="485"/>
      <c r="M143" s="476">
        <f t="shared" si="48"/>
        <v>0</v>
      </c>
      <c r="N143" s="485"/>
      <c r="O143" s="476">
        <f t="shared" si="49"/>
        <v>0</v>
      </c>
      <c r="P143" s="476">
        <f t="shared" si="50"/>
        <v>0</v>
      </c>
    </row>
    <row r="144" spans="2:16" ht="12.5">
      <c r="B144" s="160" t="str">
        <f t="shared" si="27"/>
        <v/>
      </c>
      <c r="C144" s="470">
        <f>IF(D93="","-",+C143+1)</f>
        <v>2059</v>
      </c>
      <c r="D144" s="345">
        <f>IF(F143+SUM(E$99:E143)=D$92,F143,D$92-SUM(E$99:E143))</f>
        <v>0</v>
      </c>
      <c r="E144" s="482">
        <f t="shared" si="42"/>
        <v>0</v>
      </c>
      <c r="F144" s="483">
        <f t="shared" si="43"/>
        <v>0</v>
      </c>
      <c r="G144" s="483">
        <f t="shared" si="44"/>
        <v>0</v>
      </c>
      <c r="H144" s="484">
        <f t="shared" si="45"/>
        <v>0</v>
      </c>
      <c r="I144" s="540">
        <f t="shared" si="46"/>
        <v>0</v>
      </c>
      <c r="J144" s="476">
        <f t="shared" si="28"/>
        <v>0</v>
      </c>
      <c r="K144" s="476"/>
      <c r="L144" s="485"/>
      <c r="M144" s="476">
        <f t="shared" si="48"/>
        <v>0</v>
      </c>
      <c r="N144" s="485"/>
      <c r="O144" s="476">
        <f t="shared" si="49"/>
        <v>0</v>
      </c>
      <c r="P144" s="476">
        <f t="shared" si="50"/>
        <v>0</v>
      </c>
    </row>
    <row r="145" spans="2:16" ht="12.5">
      <c r="B145" s="160" t="str">
        <f t="shared" si="27"/>
        <v/>
      </c>
      <c r="C145" s="470">
        <f>IF(D93="","-",+C144+1)</f>
        <v>2060</v>
      </c>
      <c r="D145" s="345">
        <f>IF(F144+SUM(E$99:E144)=D$92,F144,D$92-SUM(E$99:E144))</f>
        <v>0</v>
      </c>
      <c r="E145" s="482">
        <f t="shared" si="42"/>
        <v>0</v>
      </c>
      <c r="F145" s="483">
        <f t="shared" si="43"/>
        <v>0</v>
      </c>
      <c r="G145" s="483">
        <f t="shared" si="44"/>
        <v>0</v>
      </c>
      <c r="H145" s="484">
        <f t="shared" si="45"/>
        <v>0</v>
      </c>
      <c r="I145" s="540">
        <f t="shared" si="46"/>
        <v>0</v>
      </c>
      <c r="J145" s="476">
        <f t="shared" si="28"/>
        <v>0</v>
      </c>
      <c r="K145" s="476"/>
      <c r="L145" s="485"/>
      <c r="M145" s="476">
        <f t="shared" si="48"/>
        <v>0</v>
      </c>
      <c r="N145" s="485"/>
      <c r="O145" s="476">
        <f t="shared" si="49"/>
        <v>0</v>
      </c>
      <c r="P145" s="476">
        <f t="shared" si="50"/>
        <v>0</v>
      </c>
    </row>
    <row r="146" spans="2:16" ht="12.5">
      <c r="B146" s="160" t="str">
        <f t="shared" si="27"/>
        <v/>
      </c>
      <c r="C146" s="470">
        <f>IF(D93="","-",+C145+1)</f>
        <v>2061</v>
      </c>
      <c r="D146" s="345">
        <f>IF(F145+SUM(E$99:E145)=D$92,F145,D$92-SUM(E$99:E145))</f>
        <v>0</v>
      </c>
      <c r="E146" s="482">
        <f t="shared" si="42"/>
        <v>0</v>
      </c>
      <c r="F146" s="483">
        <f t="shared" si="43"/>
        <v>0</v>
      </c>
      <c r="G146" s="483">
        <f t="shared" si="44"/>
        <v>0</v>
      </c>
      <c r="H146" s="484">
        <f t="shared" si="45"/>
        <v>0</v>
      </c>
      <c r="I146" s="540">
        <f t="shared" si="46"/>
        <v>0</v>
      </c>
      <c r="J146" s="476">
        <f t="shared" si="28"/>
        <v>0</v>
      </c>
      <c r="K146" s="476"/>
      <c r="L146" s="485"/>
      <c r="M146" s="476">
        <f t="shared" si="48"/>
        <v>0</v>
      </c>
      <c r="N146" s="485"/>
      <c r="O146" s="476">
        <f t="shared" si="49"/>
        <v>0</v>
      </c>
      <c r="P146" s="476">
        <f t="shared" si="50"/>
        <v>0</v>
      </c>
    </row>
    <row r="147" spans="2:16" ht="12.5">
      <c r="B147" s="160" t="str">
        <f t="shared" si="27"/>
        <v/>
      </c>
      <c r="C147" s="470">
        <f>IF(D93="","-",+C146+1)</f>
        <v>2062</v>
      </c>
      <c r="D147" s="345">
        <f>IF(F146+SUM(E$99:E146)=D$92,F146,D$92-SUM(E$99:E146))</f>
        <v>0</v>
      </c>
      <c r="E147" s="482">
        <f t="shared" si="42"/>
        <v>0</v>
      </c>
      <c r="F147" s="483">
        <f t="shared" si="43"/>
        <v>0</v>
      </c>
      <c r="G147" s="483">
        <f t="shared" si="44"/>
        <v>0</v>
      </c>
      <c r="H147" s="484">
        <f t="shared" si="45"/>
        <v>0</v>
      </c>
      <c r="I147" s="540">
        <f t="shared" si="46"/>
        <v>0</v>
      </c>
      <c r="J147" s="476">
        <f t="shared" si="28"/>
        <v>0</v>
      </c>
      <c r="K147" s="476"/>
      <c r="L147" s="485"/>
      <c r="M147" s="476">
        <f t="shared" si="48"/>
        <v>0</v>
      </c>
      <c r="N147" s="485"/>
      <c r="O147" s="476">
        <f t="shared" si="49"/>
        <v>0</v>
      </c>
      <c r="P147" s="476">
        <f t="shared" si="50"/>
        <v>0</v>
      </c>
    </row>
    <row r="148" spans="2:16" ht="12.5">
      <c r="B148" s="160" t="str">
        <f t="shared" si="27"/>
        <v/>
      </c>
      <c r="C148" s="470">
        <f>IF(D93="","-",+C147+1)</f>
        <v>2063</v>
      </c>
      <c r="D148" s="345">
        <f>IF(F147+SUM(E$99:E147)=D$92,F147,D$92-SUM(E$99:E147))</f>
        <v>0</v>
      </c>
      <c r="E148" s="482">
        <f t="shared" si="42"/>
        <v>0</v>
      </c>
      <c r="F148" s="483">
        <f t="shared" si="43"/>
        <v>0</v>
      </c>
      <c r="G148" s="483">
        <f t="shared" si="44"/>
        <v>0</v>
      </c>
      <c r="H148" s="484">
        <f t="shared" si="45"/>
        <v>0</v>
      </c>
      <c r="I148" s="540">
        <f t="shared" si="46"/>
        <v>0</v>
      </c>
      <c r="J148" s="476">
        <f t="shared" si="28"/>
        <v>0</v>
      </c>
      <c r="K148" s="476"/>
      <c r="L148" s="485"/>
      <c r="M148" s="476">
        <f t="shared" si="48"/>
        <v>0</v>
      </c>
      <c r="N148" s="485"/>
      <c r="O148" s="476">
        <f t="shared" si="49"/>
        <v>0</v>
      </c>
      <c r="P148" s="476">
        <f t="shared" si="50"/>
        <v>0</v>
      </c>
    </row>
    <row r="149" spans="2:16" ht="12.5">
      <c r="B149" s="160" t="str">
        <f t="shared" si="27"/>
        <v/>
      </c>
      <c r="C149" s="470">
        <f>IF(D93="","-",+C148+1)</f>
        <v>2064</v>
      </c>
      <c r="D149" s="345">
        <f>IF(F148+SUM(E$99:E148)=D$92,F148,D$92-SUM(E$99:E148))</f>
        <v>0</v>
      </c>
      <c r="E149" s="482">
        <f t="shared" si="42"/>
        <v>0</v>
      </c>
      <c r="F149" s="483">
        <f t="shared" si="43"/>
        <v>0</v>
      </c>
      <c r="G149" s="483">
        <f t="shared" si="44"/>
        <v>0</v>
      </c>
      <c r="H149" s="484">
        <f t="shared" si="45"/>
        <v>0</v>
      </c>
      <c r="I149" s="540">
        <f t="shared" si="46"/>
        <v>0</v>
      </c>
      <c r="J149" s="476">
        <f t="shared" si="28"/>
        <v>0</v>
      </c>
      <c r="K149" s="476"/>
      <c r="L149" s="485"/>
      <c r="M149" s="476">
        <f t="shared" si="48"/>
        <v>0</v>
      </c>
      <c r="N149" s="485"/>
      <c r="O149" s="476">
        <f t="shared" si="49"/>
        <v>0</v>
      </c>
      <c r="P149" s="476">
        <f t="shared" si="50"/>
        <v>0</v>
      </c>
    </row>
    <row r="150" spans="2:16" ht="12.5">
      <c r="B150" s="160" t="str">
        <f t="shared" si="27"/>
        <v/>
      </c>
      <c r="C150" s="470">
        <f>IF(D93="","-",+C149+1)</f>
        <v>2065</v>
      </c>
      <c r="D150" s="345">
        <f>IF(F149+SUM(E$99:E149)=D$92,F149,D$92-SUM(E$99:E149))</f>
        <v>0</v>
      </c>
      <c r="E150" s="482">
        <f t="shared" si="42"/>
        <v>0</v>
      </c>
      <c r="F150" s="483">
        <f t="shared" si="43"/>
        <v>0</v>
      </c>
      <c r="G150" s="483">
        <f t="shared" si="44"/>
        <v>0</v>
      </c>
      <c r="H150" s="484">
        <f t="shared" si="45"/>
        <v>0</v>
      </c>
      <c r="I150" s="540">
        <f t="shared" si="46"/>
        <v>0</v>
      </c>
      <c r="J150" s="476">
        <f t="shared" si="28"/>
        <v>0</v>
      </c>
      <c r="K150" s="476"/>
      <c r="L150" s="485"/>
      <c r="M150" s="476">
        <f t="shared" si="48"/>
        <v>0</v>
      </c>
      <c r="N150" s="485"/>
      <c r="O150" s="476">
        <f t="shared" si="49"/>
        <v>0</v>
      </c>
      <c r="P150" s="476">
        <f t="shared" si="50"/>
        <v>0</v>
      </c>
    </row>
    <row r="151" spans="2:16" ht="12.5">
      <c r="B151" s="160" t="str">
        <f t="shared" si="27"/>
        <v/>
      </c>
      <c r="C151" s="470">
        <f>IF(D93="","-",+C150+1)</f>
        <v>2066</v>
      </c>
      <c r="D151" s="345">
        <f>IF(F150+SUM(E$99:E150)=D$92,F150,D$92-SUM(E$99:E150))</f>
        <v>0</v>
      </c>
      <c r="E151" s="482">
        <f t="shared" si="42"/>
        <v>0</v>
      </c>
      <c r="F151" s="483">
        <f t="shared" si="43"/>
        <v>0</v>
      </c>
      <c r="G151" s="483">
        <f t="shared" si="44"/>
        <v>0</v>
      </c>
      <c r="H151" s="484">
        <f t="shared" si="45"/>
        <v>0</v>
      </c>
      <c r="I151" s="540">
        <f t="shared" si="46"/>
        <v>0</v>
      </c>
      <c r="J151" s="476">
        <f t="shared" si="28"/>
        <v>0</v>
      </c>
      <c r="K151" s="476"/>
      <c r="L151" s="485"/>
      <c r="M151" s="476">
        <f t="shared" si="48"/>
        <v>0</v>
      </c>
      <c r="N151" s="485"/>
      <c r="O151" s="476">
        <f t="shared" si="49"/>
        <v>0</v>
      </c>
      <c r="P151" s="476">
        <f t="shared" si="50"/>
        <v>0</v>
      </c>
    </row>
    <row r="152" spans="2:16" ht="12.5">
      <c r="B152" s="160" t="str">
        <f t="shared" si="27"/>
        <v/>
      </c>
      <c r="C152" s="470">
        <f>IF(D93="","-",+C151+1)</f>
        <v>2067</v>
      </c>
      <c r="D152" s="345">
        <f>IF(F151+SUM(E$99:E151)=D$92,F151,D$92-SUM(E$99:E151))</f>
        <v>0</v>
      </c>
      <c r="E152" s="482">
        <f t="shared" si="42"/>
        <v>0</v>
      </c>
      <c r="F152" s="483">
        <f t="shared" si="43"/>
        <v>0</v>
      </c>
      <c r="G152" s="483">
        <f t="shared" si="44"/>
        <v>0</v>
      </c>
      <c r="H152" s="484">
        <f t="shared" si="45"/>
        <v>0</v>
      </c>
      <c r="I152" s="540">
        <f t="shared" si="46"/>
        <v>0</v>
      </c>
      <c r="J152" s="476">
        <f t="shared" si="28"/>
        <v>0</v>
      </c>
      <c r="K152" s="476"/>
      <c r="L152" s="485"/>
      <c r="M152" s="476">
        <f t="shared" si="48"/>
        <v>0</v>
      </c>
      <c r="N152" s="485"/>
      <c r="O152" s="476">
        <f t="shared" si="49"/>
        <v>0</v>
      </c>
      <c r="P152" s="476">
        <f t="shared" si="50"/>
        <v>0</v>
      </c>
    </row>
    <row r="153" spans="2:16" ht="12.5">
      <c r="B153" s="160" t="str">
        <f t="shared" si="27"/>
        <v/>
      </c>
      <c r="C153" s="470">
        <f>IF(D93="","-",+C152+1)</f>
        <v>2068</v>
      </c>
      <c r="D153" s="345">
        <f>IF(F152+SUM(E$99:E152)=D$92,F152,D$92-SUM(E$99:E152))</f>
        <v>0</v>
      </c>
      <c r="E153" s="482">
        <f t="shared" si="42"/>
        <v>0</v>
      </c>
      <c r="F153" s="483">
        <f t="shared" si="43"/>
        <v>0</v>
      </c>
      <c r="G153" s="483">
        <f t="shared" si="44"/>
        <v>0</v>
      </c>
      <c r="H153" s="484">
        <f t="shared" si="45"/>
        <v>0</v>
      </c>
      <c r="I153" s="540">
        <f t="shared" si="46"/>
        <v>0</v>
      </c>
      <c r="J153" s="476">
        <f t="shared" si="28"/>
        <v>0</v>
      </c>
      <c r="K153" s="476"/>
      <c r="L153" s="485"/>
      <c r="M153" s="476">
        <f t="shared" si="48"/>
        <v>0</v>
      </c>
      <c r="N153" s="485"/>
      <c r="O153" s="476">
        <f t="shared" si="49"/>
        <v>0</v>
      </c>
      <c r="P153" s="476">
        <f t="shared" si="50"/>
        <v>0</v>
      </c>
    </row>
    <row r="154" spans="2:16" ht="13" thickBot="1">
      <c r="B154" s="160" t="str">
        <f t="shared" si="27"/>
        <v/>
      </c>
      <c r="C154" s="487">
        <f>IF(D93="","-",+C153+1)</f>
        <v>2069</v>
      </c>
      <c r="D154" s="574">
        <f>IF(F153+SUM(E$99:E153)=D$92,F153,D$92-SUM(E$99:E153))</f>
        <v>0</v>
      </c>
      <c r="E154" s="489">
        <f t="shared" si="42"/>
        <v>0</v>
      </c>
      <c r="F154" s="488">
        <f t="shared" si="43"/>
        <v>0</v>
      </c>
      <c r="G154" s="488">
        <f t="shared" si="44"/>
        <v>0</v>
      </c>
      <c r="H154" s="490">
        <f t="shared" ref="H154" si="51">+J$94*G154+E154</f>
        <v>0</v>
      </c>
      <c r="I154" s="543">
        <f t="shared" ref="I154" si="52">+J$95*G154+E154</f>
        <v>0</v>
      </c>
      <c r="J154" s="493">
        <f t="shared" si="28"/>
        <v>0</v>
      </c>
      <c r="K154" s="493"/>
      <c r="L154" s="492"/>
      <c r="M154" s="493">
        <f t="shared" si="48"/>
        <v>0</v>
      </c>
      <c r="N154" s="492"/>
      <c r="O154" s="493">
        <f t="shared" si="49"/>
        <v>0</v>
      </c>
      <c r="P154" s="493">
        <f t="shared" si="50"/>
        <v>0</v>
      </c>
    </row>
    <row r="155" spans="2:16" ht="12.5">
      <c r="C155" s="345" t="s">
        <v>77</v>
      </c>
      <c r="D155" s="346"/>
      <c r="E155" s="346">
        <f>SUM(E99:E154)</f>
        <v>2246629</v>
      </c>
      <c r="F155" s="346"/>
      <c r="G155" s="346"/>
      <c r="H155" s="346">
        <f>SUM(H99:H154)</f>
        <v>7420599.5124845328</v>
      </c>
      <c r="I155" s="346">
        <f>SUM(I99:I154)</f>
        <v>7420599.5124845328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5" priority="1" stopIfTrue="1" operator="equal">
      <formula>$I$10</formula>
    </cfRule>
  </conditionalFormatting>
  <conditionalFormatting sqref="C99:C154">
    <cfRule type="cellIs" dxfId="3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5"/>
  <dimension ref="A1:P162"/>
  <sheetViews>
    <sheetView zoomScaleNormal="100" zoomScaleSheetLayoutView="80" workbookViewId="0">
      <selection activeCell="D92" sqref="D9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16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609862.07794871787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609862.07794871787</v>
      </c>
      <c r="O6" s="231"/>
      <c r="P6" s="231"/>
    </row>
    <row r="7" spans="1:16" ht="13.5" thickBot="1">
      <c r="C7" s="429" t="s">
        <v>46</v>
      </c>
      <c r="D7" s="597" t="s">
        <v>252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251</v>
      </c>
      <c r="E9" s="575" t="s">
        <v>259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5059278.0399999991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2014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129725.07794871792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2014</v>
      </c>
      <c r="D17" s="582">
        <v>5300000</v>
      </c>
      <c r="E17" s="605">
        <v>0</v>
      </c>
      <c r="F17" s="582">
        <v>5300000</v>
      </c>
      <c r="G17" s="605">
        <v>729591.46876123699</v>
      </c>
      <c r="H17" s="585">
        <v>729591.46876123699</v>
      </c>
      <c r="I17" s="473">
        <v>0</v>
      </c>
      <c r="J17" s="473"/>
      <c r="K17" s="474">
        <f t="shared" ref="K17:K22" si="0">G17</f>
        <v>729591.46876123699</v>
      </c>
      <c r="L17" s="601">
        <f t="shared" ref="L17:L22" si="1">IF(K17&lt;&gt;0,+G17-K17,0)</f>
        <v>0</v>
      </c>
      <c r="M17" s="474">
        <f t="shared" ref="M17:M22" si="2">H17</f>
        <v>729591.46876123699</v>
      </c>
      <c r="N17" s="476">
        <f>IF(M17&lt;&gt;0,+H17-M17,0)</f>
        <v>0</v>
      </c>
      <c r="O17" s="473">
        <f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2015</v>
      </c>
      <c r="D18" s="582">
        <v>5300000</v>
      </c>
      <c r="E18" s="583">
        <v>101923.07692307692</v>
      </c>
      <c r="F18" s="582">
        <v>5198076.923076923</v>
      </c>
      <c r="G18" s="583">
        <v>818590.55430690572</v>
      </c>
      <c r="H18" s="585">
        <v>818590.55430690572</v>
      </c>
      <c r="I18" s="473">
        <v>0</v>
      </c>
      <c r="J18" s="473"/>
      <c r="K18" s="474">
        <f t="shared" si="0"/>
        <v>818590.55430690572</v>
      </c>
      <c r="L18" s="601">
        <f t="shared" si="1"/>
        <v>0</v>
      </c>
      <c r="M18" s="474">
        <f t="shared" si="2"/>
        <v>818590.55430690572</v>
      </c>
      <c r="N18" s="476">
        <f>IF(M18&lt;&gt;0,+H18-M18,0)</f>
        <v>0</v>
      </c>
      <c r="O18" s="473">
        <f>+N18-L18</f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2016</v>
      </c>
      <c r="D19" s="582">
        <v>4969414.923076923</v>
      </c>
      <c r="E19" s="583">
        <v>97525.730769230766</v>
      </c>
      <c r="F19" s="582">
        <v>4871889.192307692</v>
      </c>
      <c r="G19" s="583">
        <v>736520.73076923075</v>
      </c>
      <c r="H19" s="585">
        <v>736520.73076923075</v>
      </c>
      <c r="I19" s="473">
        <f>H19-G19</f>
        <v>0</v>
      </c>
      <c r="J19" s="473"/>
      <c r="K19" s="474">
        <f t="shared" si="0"/>
        <v>736520.73076923075</v>
      </c>
      <c r="L19" s="601">
        <f t="shared" si="1"/>
        <v>0</v>
      </c>
      <c r="M19" s="474">
        <f t="shared" si="2"/>
        <v>736520.73076923075</v>
      </c>
      <c r="N19" s="476">
        <f>IF(M19&lt;&gt;0,+H19-M19,0)</f>
        <v>0</v>
      </c>
      <c r="O19" s="473">
        <f>+N19-L19</f>
        <v>0</v>
      </c>
      <c r="P19" s="241"/>
    </row>
    <row r="20" spans="2:16" ht="12.5">
      <c r="B20" s="160" t="str">
        <f t="shared" ref="B20:B72" si="3">IF(D20=F19,"","IU")</f>
        <v>IU</v>
      </c>
      <c r="C20" s="470">
        <f>IF(D11="","-",+C19+1)</f>
        <v>2017</v>
      </c>
      <c r="D20" s="582">
        <v>4859829.192307692</v>
      </c>
      <c r="E20" s="583">
        <v>109984.30434782608</v>
      </c>
      <c r="F20" s="582">
        <v>4749844.8879598659</v>
      </c>
      <c r="G20" s="583">
        <v>714452.30434782605</v>
      </c>
      <c r="H20" s="585">
        <v>714452.30434782605</v>
      </c>
      <c r="I20" s="473">
        <f t="shared" ref="I20:I72" si="4">H20-G20</f>
        <v>0</v>
      </c>
      <c r="J20" s="473"/>
      <c r="K20" s="474">
        <f t="shared" si="0"/>
        <v>714452.30434782605</v>
      </c>
      <c r="L20" s="601">
        <f t="shared" si="1"/>
        <v>0</v>
      </c>
      <c r="M20" s="474">
        <f t="shared" si="2"/>
        <v>714452.30434782605</v>
      </c>
      <c r="N20" s="476">
        <f>IF(M20&lt;&gt;0,+H20-M20,0)</f>
        <v>0</v>
      </c>
      <c r="O20" s="473">
        <f>+N20-L20</f>
        <v>0</v>
      </c>
      <c r="P20" s="241"/>
    </row>
    <row r="21" spans="2:16" ht="12.5">
      <c r="B21" s="160" t="str">
        <f t="shared" si="3"/>
        <v/>
      </c>
      <c r="C21" s="470">
        <f>IF(D11="","-",+C20+1)</f>
        <v>2018</v>
      </c>
      <c r="D21" s="582">
        <v>4749844.8879598659</v>
      </c>
      <c r="E21" s="583">
        <v>112428.4</v>
      </c>
      <c r="F21" s="582">
        <v>4637416.4879598655</v>
      </c>
      <c r="G21" s="583">
        <v>674532.63926355843</v>
      </c>
      <c r="H21" s="585">
        <v>674532.63926355843</v>
      </c>
      <c r="I21" s="473">
        <f t="shared" si="4"/>
        <v>0</v>
      </c>
      <c r="J21" s="473"/>
      <c r="K21" s="474">
        <f t="shared" si="0"/>
        <v>674532.63926355843</v>
      </c>
      <c r="L21" s="601">
        <f t="shared" si="1"/>
        <v>0</v>
      </c>
      <c r="M21" s="474">
        <f t="shared" si="2"/>
        <v>674532.63926355843</v>
      </c>
      <c r="N21" s="476">
        <f>IF(M21&lt;&gt;0,+H21-M21,0)</f>
        <v>0</v>
      </c>
      <c r="O21" s="473">
        <f>+N21-L21</f>
        <v>0</v>
      </c>
      <c r="P21" s="241"/>
    </row>
    <row r="22" spans="2:16" ht="12.5">
      <c r="B22" s="160" t="str">
        <f t="shared" si="3"/>
        <v/>
      </c>
      <c r="C22" s="470">
        <f>IF(D11="","-",+C21+1)</f>
        <v>2019</v>
      </c>
      <c r="D22" s="582">
        <v>4637416.4879598655</v>
      </c>
      <c r="E22" s="583">
        <v>126481.95</v>
      </c>
      <c r="F22" s="582">
        <v>4510934.5379598653</v>
      </c>
      <c r="G22" s="583">
        <v>637218.97874084802</v>
      </c>
      <c r="H22" s="585">
        <v>637218.97874084802</v>
      </c>
      <c r="I22" s="473">
        <f t="shared" si="4"/>
        <v>0</v>
      </c>
      <c r="J22" s="473"/>
      <c r="K22" s="474">
        <f t="shared" si="0"/>
        <v>637218.97874084802</v>
      </c>
      <c r="L22" s="601">
        <f t="shared" si="1"/>
        <v>0</v>
      </c>
      <c r="M22" s="474">
        <f t="shared" si="2"/>
        <v>637218.97874084802</v>
      </c>
      <c r="N22" s="476">
        <f t="shared" ref="N22:N72" si="5">IF(M22&lt;&gt;0,+H22-M22,0)</f>
        <v>0</v>
      </c>
      <c r="O22" s="476">
        <f t="shared" ref="O22:O72" si="6">+N22-L22</f>
        <v>0</v>
      </c>
      <c r="P22" s="241"/>
    </row>
    <row r="23" spans="2:16" ht="12.5">
      <c r="B23" s="160" t="str">
        <f t="shared" si="3"/>
        <v>IU</v>
      </c>
      <c r="C23" s="470">
        <f>IF(D11="","-",+C22+1)</f>
        <v>2020</v>
      </c>
      <c r="D23" s="582">
        <v>4524988.0879598651</v>
      </c>
      <c r="E23" s="583">
        <v>120459</v>
      </c>
      <c r="F23" s="582">
        <v>4404529.0879598651</v>
      </c>
      <c r="G23" s="583">
        <v>602674.25524940272</v>
      </c>
      <c r="H23" s="585">
        <v>602674.25524940272</v>
      </c>
      <c r="I23" s="473">
        <f t="shared" si="4"/>
        <v>0</v>
      </c>
      <c r="J23" s="473"/>
      <c r="K23" s="474">
        <f t="shared" ref="K23" si="7">G23</f>
        <v>602674.25524940272</v>
      </c>
      <c r="L23" s="601">
        <f t="shared" ref="L23" si="8">IF(K23&lt;&gt;0,+G23-K23,0)</f>
        <v>0</v>
      </c>
      <c r="M23" s="474">
        <f t="shared" ref="M23" si="9">H23</f>
        <v>602674.25524940272</v>
      </c>
      <c r="N23" s="476">
        <f t="shared" si="5"/>
        <v>0</v>
      </c>
      <c r="O23" s="476">
        <f t="shared" si="6"/>
        <v>0</v>
      </c>
      <c r="P23" s="241"/>
    </row>
    <row r="24" spans="2:16" ht="12.5">
      <c r="B24" s="160" t="str">
        <f t="shared" si="3"/>
        <v>IU</v>
      </c>
      <c r="C24" s="470">
        <f>IF(D11="","-",+C23+1)</f>
        <v>2021</v>
      </c>
      <c r="D24" s="582">
        <v>4390475.5379598662</v>
      </c>
      <c r="E24" s="583">
        <v>117657.62790697675</v>
      </c>
      <c r="F24" s="582">
        <v>4272817.910052889</v>
      </c>
      <c r="G24" s="583">
        <v>578359.62790697673</v>
      </c>
      <c r="H24" s="585">
        <v>578359.62790697673</v>
      </c>
      <c r="I24" s="473">
        <f t="shared" si="4"/>
        <v>0</v>
      </c>
      <c r="J24" s="473"/>
      <c r="K24" s="474">
        <f t="shared" ref="K24" si="10">G24</f>
        <v>578359.62790697673</v>
      </c>
      <c r="L24" s="601">
        <f t="shared" ref="L24" si="11">IF(K24&lt;&gt;0,+G24-K24,0)</f>
        <v>0</v>
      </c>
      <c r="M24" s="474">
        <f t="shared" ref="M24" si="12">H24</f>
        <v>578359.62790697673</v>
      </c>
      <c r="N24" s="476">
        <f t="shared" si="5"/>
        <v>0</v>
      </c>
      <c r="O24" s="476">
        <f t="shared" si="6"/>
        <v>0</v>
      </c>
      <c r="P24" s="241"/>
    </row>
    <row r="25" spans="2:16" ht="12.5">
      <c r="B25" s="160" t="str">
        <f t="shared" si="3"/>
        <v/>
      </c>
      <c r="C25" s="470">
        <f>IF(D11="","-",+C24+1)</f>
        <v>2022</v>
      </c>
      <c r="D25" s="582">
        <v>4272817.910052889</v>
      </c>
      <c r="E25" s="583">
        <v>120459</v>
      </c>
      <c r="F25" s="582">
        <v>4152358.910052889</v>
      </c>
      <c r="G25" s="583">
        <v>568130</v>
      </c>
      <c r="H25" s="585">
        <v>568130</v>
      </c>
      <c r="I25" s="473">
        <f t="shared" si="4"/>
        <v>0</v>
      </c>
      <c r="J25" s="473"/>
      <c r="K25" s="474">
        <f t="shared" ref="K25" si="13">G25</f>
        <v>568130</v>
      </c>
      <c r="L25" s="601">
        <f t="shared" ref="L25" si="14">IF(K25&lt;&gt;0,+G25-K25,0)</f>
        <v>0</v>
      </c>
      <c r="M25" s="474">
        <f t="shared" ref="M25" si="15">H25</f>
        <v>568130</v>
      </c>
      <c r="N25" s="476">
        <f t="shared" si="5"/>
        <v>0</v>
      </c>
      <c r="O25" s="476">
        <f t="shared" si="6"/>
        <v>0</v>
      </c>
      <c r="P25" s="241"/>
    </row>
    <row r="26" spans="2:16" ht="12.5">
      <c r="B26" s="160" t="str">
        <f t="shared" si="3"/>
        <v>IU</v>
      </c>
      <c r="C26" s="470">
        <f>IF(D11="","-",+C25+1)</f>
        <v>2023</v>
      </c>
      <c r="D26" s="582">
        <v>4152358.9500528886</v>
      </c>
      <c r="E26" s="583">
        <v>129725.07794871792</v>
      </c>
      <c r="F26" s="582">
        <v>4022633.8721041707</v>
      </c>
      <c r="G26" s="583">
        <v>609862.07794871787</v>
      </c>
      <c r="H26" s="585">
        <v>609862.07794871787</v>
      </c>
      <c r="I26" s="473">
        <f t="shared" si="4"/>
        <v>0</v>
      </c>
      <c r="J26" s="473"/>
      <c r="K26" s="474">
        <f t="shared" ref="K26" si="16">G26</f>
        <v>609862.07794871787</v>
      </c>
      <c r="L26" s="601">
        <f t="shared" ref="L26" si="17">IF(K26&lt;&gt;0,+G26-K26,0)</f>
        <v>0</v>
      </c>
      <c r="M26" s="474">
        <f t="shared" ref="M26" si="18">H26</f>
        <v>609862.07794871787</v>
      </c>
      <c r="N26" s="476">
        <f t="shared" si="5"/>
        <v>0</v>
      </c>
      <c r="O26" s="476">
        <f t="shared" si="6"/>
        <v>0</v>
      </c>
      <c r="P26" s="241"/>
    </row>
    <row r="27" spans="2:16" ht="12.5">
      <c r="B27" s="160" t="str">
        <f t="shared" si="3"/>
        <v/>
      </c>
      <c r="C27" s="470">
        <f>IF(D11="","-",+C26+1)</f>
        <v>2024</v>
      </c>
      <c r="D27" s="483">
        <f>IF(F26+SUM(E$17:E26)=D$10,F26,D$10-SUM(E$17:E26))</f>
        <v>4022633.8721041707</v>
      </c>
      <c r="E27" s="482">
        <f t="shared" ref="E27:E72" si="19">IF(+$I$14&lt;F26,$I$14,D27)</f>
        <v>129725.07794871792</v>
      </c>
      <c r="F27" s="483">
        <f t="shared" ref="F27:F72" si="20">+D27-E27</f>
        <v>3892908.7941554529</v>
      </c>
      <c r="G27" s="484">
        <f t="shared" ref="G27:G72" si="21">(D27+F27)/2*I$12+E27</f>
        <v>602120.51121064113</v>
      </c>
      <c r="H27" s="453">
        <f t="shared" ref="H27:H72" si="22">+(D27+F27)/2*I$13+E27</f>
        <v>602120.51121064113</v>
      </c>
      <c r="I27" s="473">
        <f t="shared" si="4"/>
        <v>0</v>
      </c>
      <c r="J27" s="473"/>
      <c r="K27" s="485"/>
      <c r="L27" s="476">
        <f t="shared" ref="L27:L72" si="23">IF(K27&lt;&gt;0,+G27-K27,0)</f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 ht="12.5">
      <c r="B28" s="160" t="str">
        <f t="shared" si="3"/>
        <v/>
      </c>
      <c r="C28" s="470">
        <f>IF(D11="","-",+C27+1)</f>
        <v>2025</v>
      </c>
      <c r="D28" s="483">
        <f>IF(F27+SUM(E$17:E27)=D$10,F27,D$10-SUM(E$17:E27))</f>
        <v>3892908.7941554529</v>
      </c>
      <c r="E28" s="482">
        <f t="shared" si="19"/>
        <v>129725.07794871792</v>
      </c>
      <c r="F28" s="483">
        <f t="shared" si="20"/>
        <v>3763183.716206735</v>
      </c>
      <c r="G28" s="484">
        <f t="shared" si="21"/>
        <v>586636.66203281097</v>
      </c>
      <c r="H28" s="453">
        <f t="shared" si="22"/>
        <v>586636.66203281097</v>
      </c>
      <c r="I28" s="473">
        <f t="shared" si="4"/>
        <v>0</v>
      </c>
      <c r="J28" s="473"/>
      <c r="K28" s="485"/>
      <c r="L28" s="476">
        <f t="shared" si="23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 ht="12.5">
      <c r="B29" s="160" t="str">
        <f t="shared" si="3"/>
        <v/>
      </c>
      <c r="C29" s="470">
        <f>IF(D11="","-",+C28+1)</f>
        <v>2026</v>
      </c>
      <c r="D29" s="483">
        <f>IF(F28+SUM(E$17:E28)=D$10,F28,D$10-SUM(E$17:E28))</f>
        <v>3763183.716206735</v>
      </c>
      <c r="E29" s="482">
        <f t="shared" si="19"/>
        <v>129725.07794871792</v>
      </c>
      <c r="F29" s="483">
        <f t="shared" si="20"/>
        <v>3633458.6382580171</v>
      </c>
      <c r="G29" s="484">
        <f t="shared" si="21"/>
        <v>571152.81285498105</v>
      </c>
      <c r="H29" s="453">
        <f t="shared" si="22"/>
        <v>571152.81285498105</v>
      </c>
      <c r="I29" s="473">
        <f t="shared" si="4"/>
        <v>0</v>
      </c>
      <c r="J29" s="473"/>
      <c r="K29" s="485"/>
      <c r="L29" s="476">
        <f t="shared" si="23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 ht="12.5">
      <c r="B30" s="160" t="str">
        <f t="shared" si="3"/>
        <v/>
      </c>
      <c r="C30" s="470">
        <f>IF(D11="","-",+C29+1)</f>
        <v>2027</v>
      </c>
      <c r="D30" s="483">
        <f>IF(F29+SUM(E$17:E29)=D$10,F29,D$10-SUM(E$17:E29))</f>
        <v>3633458.6382580171</v>
      </c>
      <c r="E30" s="482">
        <f t="shared" si="19"/>
        <v>129725.07794871792</v>
      </c>
      <c r="F30" s="483">
        <f t="shared" si="20"/>
        <v>3503733.5603092993</v>
      </c>
      <c r="G30" s="484">
        <f t="shared" si="21"/>
        <v>555668.9636771509</v>
      </c>
      <c r="H30" s="453">
        <f t="shared" si="22"/>
        <v>555668.9636771509</v>
      </c>
      <c r="I30" s="473">
        <f t="shared" si="4"/>
        <v>0</v>
      </c>
      <c r="J30" s="473"/>
      <c r="K30" s="485"/>
      <c r="L30" s="476">
        <f t="shared" si="23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 ht="12.5">
      <c r="B31" s="160" t="str">
        <f t="shared" si="3"/>
        <v/>
      </c>
      <c r="C31" s="470">
        <f>IF(D11="","-",+C30+1)</f>
        <v>2028</v>
      </c>
      <c r="D31" s="483">
        <f>IF(F30+SUM(E$17:E30)=D$10,F30,D$10-SUM(E$17:E30))</f>
        <v>3503733.5603092993</v>
      </c>
      <c r="E31" s="482">
        <f t="shared" si="19"/>
        <v>129725.07794871792</v>
      </c>
      <c r="F31" s="483">
        <f t="shared" si="20"/>
        <v>3374008.4823605814</v>
      </c>
      <c r="G31" s="484">
        <f t="shared" si="21"/>
        <v>540185.11449932097</v>
      </c>
      <c r="H31" s="453">
        <f t="shared" si="22"/>
        <v>540185.11449932097</v>
      </c>
      <c r="I31" s="473">
        <f t="shared" si="4"/>
        <v>0</v>
      </c>
      <c r="J31" s="473"/>
      <c r="K31" s="485"/>
      <c r="L31" s="476">
        <f t="shared" si="23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 ht="12.5">
      <c r="B32" s="160" t="str">
        <f t="shared" si="3"/>
        <v/>
      </c>
      <c r="C32" s="470">
        <f>IF(D11="","-",+C31+1)</f>
        <v>2029</v>
      </c>
      <c r="D32" s="483">
        <f>IF(F31+SUM(E$17:E31)=D$10,F31,D$10-SUM(E$17:E31))</f>
        <v>3374008.4823605814</v>
      </c>
      <c r="E32" s="482">
        <f t="shared" si="19"/>
        <v>129725.07794871792</v>
      </c>
      <c r="F32" s="483">
        <f t="shared" si="20"/>
        <v>3244283.4044118635</v>
      </c>
      <c r="G32" s="484">
        <f t="shared" si="21"/>
        <v>524701.26532149082</v>
      </c>
      <c r="H32" s="453">
        <f t="shared" si="22"/>
        <v>524701.26532149082</v>
      </c>
      <c r="I32" s="473">
        <f t="shared" si="4"/>
        <v>0</v>
      </c>
      <c r="J32" s="473"/>
      <c r="K32" s="485"/>
      <c r="L32" s="476">
        <f t="shared" si="23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 ht="12.5">
      <c r="B33" s="160" t="str">
        <f t="shared" si="3"/>
        <v/>
      </c>
      <c r="C33" s="470">
        <f>IF(D11="","-",+C32+1)</f>
        <v>2030</v>
      </c>
      <c r="D33" s="483">
        <f>IF(F32+SUM(E$17:E32)=D$10,F32,D$10-SUM(E$17:E32))</f>
        <v>3244283.4044118635</v>
      </c>
      <c r="E33" s="482">
        <f t="shared" si="19"/>
        <v>129725.07794871792</v>
      </c>
      <c r="F33" s="483">
        <f t="shared" si="20"/>
        <v>3114558.3264631457</v>
      </c>
      <c r="G33" s="484">
        <f t="shared" si="21"/>
        <v>509217.4161436609</v>
      </c>
      <c r="H33" s="453">
        <f t="shared" si="22"/>
        <v>509217.4161436609</v>
      </c>
      <c r="I33" s="473">
        <f t="shared" si="4"/>
        <v>0</v>
      </c>
      <c r="J33" s="473"/>
      <c r="K33" s="485"/>
      <c r="L33" s="476">
        <f t="shared" si="23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 ht="12.5">
      <c r="B34" s="160" t="str">
        <f t="shared" si="3"/>
        <v/>
      </c>
      <c r="C34" s="470">
        <f>IF(D11="","-",+C33+1)</f>
        <v>2031</v>
      </c>
      <c r="D34" s="483">
        <f>IF(F33+SUM(E$17:E33)=D$10,F33,D$10-SUM(E$17:E33))</f>
        <v>3114558.3264631457</v>
      </c>
      <c r="E34" s="482">
        <f t="shared" si="19"/>
        <v>129725.07794871792</v>
      </c>
      <c r="F34" s="483">
        <f t="shared" si="20"/>
        <v>2984833.2485144278</v>
      </c>
      <c r="G34" s="484">
        <f t="shared" si="21"/>
        <v>493733.5669658308</v>
      </c>
      <c r="H34" s="453">
        <f t="shared" si="22"/>
        <v>493733.5669658308</v>
      </c>
      <c r="I34" s="473">
        <f t="shared" si="4"/>
        <v>0</v>
      </c>
      <c r="J34" s="473"/>
      <c r="K34" s="485"/>
      <c r="L34" s="476">
        <f t="shared" si="23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 ht="12.5">
      <c r="B35" s="160" t="str">
        <f t="shared" si="3"/>
        <v/>
      </c>
      <c r="C35" s="470">
        <f>IF(D11="","-",+C34+1)</f>
        <v>2032</v>
      </c>
      <c r="D35" s="483">
        <f>IF(F34+SUM(E$17:E34)=D$10,F34,D$10-SUM(E$17:E34))</f>
        <v>2984833.2485144278</v>
      </c>
      <c r="E35" s="482">
        <f t="shared" si="19"/>
        <v>129725.07794871792</v>
      </c>
      <c r="F35" s="483">
        <f t="shared" si="20"/>
        <v>2855108.1705657099</v>
      </c>
      <c r="G35" s="484">
        <f t="shared" si="21"/>
        <v>478249.71778800082</v>
      </c>
      <c r="H35" s="453">
        <f t="shared" si="22"/>
        <v>478249.71778800082</v>
      </c>
      <c r="I35" s="473">
        <f t="shared" si="4"/>
        <v>0</v>
      </c>
      <c r="J35" s="473"/>
      <c r="K35" s="485"/>
      <c r="L35" s="476">
        <f t="shared" si="23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 ht="12.5">
      <c r="B36" s="160" t="str">
        <f t="shared" si="3"/>
        <v/>
      </c>
      <c r="C36" s="470">
        <f>IF(D11="","-",+C35+1)</f>
        <v>2033</v>
      </c>
      <c r="D36" s="483">
        <f>IF(F35+SUM(E$17:E35)=D$10,F35,D$10-SUM(E$17:E35))</f>
        <v>2855108.1705657099</v>
      </c>
      <c r="E36" s="482">
        <f t="shared" si="19"/>
        <v>129725.07794871792</v>
      </c>
      <c r="F36" s="483">
        <f t="shared" si="20"/>
        <v>2725383.0926169921</v>
      </c>
      <c r="G36" s="484">
        <f t="shared" si="21"/>
        <v>462765.86861017073</v>
      </c>
      <c r="H36" s="453">
        <f t="shared" si="22"/>
        <v>462765.86861017073</v>
      </c>
      <c r="I36" s="473">
        <f t="shared" si="4"/>
        <v>0</v>
      </c>
      <c r="J36" s="473"/>
      <c r="K36" s="485"/>
      <c r="L36" s="476">
        <f t="shared" si="23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 ht="12.5">
      <c r="B37" s="160" t="str">
        <f t="shared" si="3"/>
        <v/>
      </c>
      <c r="C37" s="470">
        <f>IF(D11="","-",+C36+1)</f>
        <v>2034</v>
      </c>
      <c r="D37" s="483">
        <f>IF(F36+SUM(E$17:E36)=D$10,F36,D$10-SUM(E$17:E36))</f>
        <v>2725383.0926169921</v>
      </c>
      <c r="E37" s="482">
        <f t="shared" si="19"/>
        <v>129725.07794871792</v>
      </c>
      <c r="F37" s="483">
        <f t="shared" si="20"/>
        <v>2595658.0146682742</v>
      </c>
      <c r="G37" s="484">
        <f t="shared" si="21"/>
        <v>447282.01943234075</v>
      </c>
      <c r="H37" s="453">
        <f t="shared" si="22"/>
        <v>447282.01943234075</v>
      </c>
      <c r="I37" s="473">
        <f t="shared" si="4"/>
        <v>0</v>
      </c>
      <c r="J37" s="473"/>
      <c r="K37" s="485"/>
      <c r="L37" s="476">
        <f t="shared" si="23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 ht="12.5">
      <c r="B38" s="160" t="str">
        <f t="shared" si="3"/>
        <v/>
      </c>
      <c r="C38" s="470">
        <f>IF(D11="","-",+C37+1)</f>
        <v>2035</v>
      </c>
      <c r="D38" s="483">
        <f>IF(F37+SUM(E$17:E37)=D$10,F37,D$10-SUM(E$17:E37))</f>
        <v>2595658.0146682742</v>
      </c>
      <c r="E38" s="482">
        <f t="shared" si="19"/>
        <v>129725.07794871792</v>
      </c>
      <c r="F38" s="483">
        <f t="shared" si="20"/>
        <v>2465932.9367195563</v>
      </c>
      <c r="G38" s="484">
        <f t="shared" si="21"/>
        <v>431798.17025451065</v>
      </c>
      <c r="H38" s="453">
        <f t="shared" si="22"/>
        <v>431798.17025451065</v>
      </c>
      <c r="I38" s="473">
        <f t="shared" si="4"/>
        <v>0</v>
      </c>
      <c r="J38" s="473"/>
      <c r="K38" s="485"/>
      <c r="L38" s="476">
        <f t="shared" si="23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 ht="12.5">
      <c r="B39" s="160" t="str">
        <f t="shared" si="3"/>
        <v/>
      </c>
      <c r="C39" s="470">
        <f>IF(D11="","-",+C38+1)</f>
        <v>2036</v>
      </c>
      <c r="D39" s="483">
        <f>IF(F38+SUM(E$17:E38)=D$10,F38,D$10-SUM(E$17:E38))</f>
        <v>2465932.9367195563</v>
      </c>
      <c r="E39" s="482">
        <f t="shared" si="19"/>
        <v>129725.07794871792</v>
      </c>
      <c r="F39" s="483">
        <f t="shared" si="20"/>
        <v>2336207.8587708385</v>
      </c>
      <c r="G39" s="484">
        <f t="shared" si="21"/>
        <v>416314.32107668067</v>
      </c>
      <c r="H39" s="453">
        <f t="shared" si="22"/>
        <v>416314.32107668067</v>
      </c>
      <c r="I39" s="473">
        <f t="shared" si="4"/>
        <v>0</v>
      </c>
      <c r="J39" s="473"/>
      <c r="K39" s="485"/>
      <c r="L39" s="476">
        <f t="shared" si="23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 ht="12.5">
      <c r="B40" s="160" t="str">
        <f t="shared" si="3"/>
        <v/>
      </c>
      <c r="C40" s="470">
        <f>IF(D11="","-",+C39+1)</f>
        <v>2037</v>
      </c>
      <c r="D40" s="483">
        <f>IF(F39+SUM(E$17:E39)=D$10,F39,D$10-SUM(E$17:E39))</f>
        <v>2336207.8587708385</v>
      </c>
      <c r="E40" s="482">
        <f t="shared" si="19"/>
        <v>129725.07794871792</v>
      </c>
      <c r="F40" s="483">
        <f t="shared" si="20"/>
        <v>2206482.7808221206</v>
      </c>
      <c r="G40" s="484">
        <f t="shared" si="21"/>
        <v>400830.47189885058</v>
      </c>
      <c r="H40" s="453">
        <f t="shared" si="22"/>
        <v>400830.47189885058</v>
      </c>
      <c r="I40" s="473">
        <f t="shared" si="4"/>
        <v>0</v>
      </c>
      <c r="J40" s="473"/>
      <c r="K40" s="485"/>
      <c r="L40" s="476">
        <f t="shared" si="23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 ht="12.5">
      <c r="B41" s="160" t="str">
        <f t="shared" si="3"/>
        <v/>
      </c>
      <c r="C41" s="470">
        <f>IF(D11="","-",+C40+1)</f>
        <v>2038</v>
      </c>
      <c r="D41" s="483">
        <f>IF(F40+SUM(E$17:E40)=D$10,F40,D$10-SUM(E$17:E40))</f>
        <v>2206482.7808221206</v>
      </c>
      <c r="E41" s="482">
        <f t="shared" si="19"/>
        <v>129725.07794871792</v>
      </c>
      <c r="F41" s="483">
        <f t="shared" si="20"/>
        <v>2076757.7028734027</v>
      </c>
      <c r="G41" s="484">
        <f t="shared" si="21"/>
        <v>385346.6227210206</v>
      </c>
      <c r="H41" s="453">
        <f t="shared" si="22"/>
        <v>385346.6227210206</v>
      </c>
      <c r="I41" s="473">
        <f t="shared" si="4"/>
        <v>0</v>
      </c>
      <c r="J41" s="473"/>
      <c r="K41" s="485"/>
      <c r="L41" s="476">
        <f t="shared" si="23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 ht="12.5">
      <c r="B42" s="160" t="str">
        <f t="shared" si="3"/>
        <v/>
      </c>
      <c r="C42" s="470">
        <f>IF(D11="","-",+C41+1)</f>
        <v>2039</v>
      </c>
      <c r="D42" s="483">
        <f>IF(F41+SUM(E$17:E41)=D$10,F41,D$10-SUM(E$17:E41))</f>
        <v>2076757.7028734027</v>
      </c>
      <c r="E42" s="482">
        <f t="shared" si="19"/>
        <v>129725.07794871792</v>
      </c>
      <c r="F42" s="483">
        <f t="shared" si="20"/>
        <v>1947032.6249246849</v>
      </c>
      <c r="G42" s="484">
        <f t="shared" si="21"/>
        <v>369862.77354319056</v>
      </c>
      <c r="H42" s="453">
        <f t="shared" si="22"/>
        <v>369862.77354319056</v>
      </c>
      <c r="I42" s="473">
        <f t="shared" si="4"/>
        <v>0</v>
      </c>
      <c r="J42" s="473"/>
      <c r="K42" s="485"/>
      <c r="L42" s="476">
        <f t="shared" si="23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 ht="12.5">
      <c r="B43" s="160" t="str">
        <f t="shared" si="3"/>
        <v/>
      </c>
      <c r="C43" s="470">
        <f>IF(D11="","-",+C42+1)</f>
        <v>2040</v>
      </c>
      <c r="D43" s="483">
        <f>IF(F42+SUM(E$17:E42)=D$10,F42,D$10-SUM(E$17:E42))</f>
        <v>1947032.6249246849</v>
      </c>
      <c r="E43" s="482">
        <f t="shared" si="19"/>
        <v>129725.07794871792</v>
      </c>
      <c r="F43" s="483">
        <f t="shared" si="20"/>
        <v>1817307.546975967</v>
      </c>
      <c r="G43" s="484">
        <f t="shared" si="21"/>
        <v>354378.92436536052</v>
      </c>
      <c r="H43" s="453">
        <f t="shared" si="22"/>
        <v>354378.92436536052</v>
      </c>
      <c r="I43" s="473">
        <f t="shared" si="4"/>
        <v>0</v>
      </c>
      <c r="J43" s="473"/>
      <c r="K43" s="485"/>
      <c r="L43" s="476">
        <f t="shared" si="23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 ht="12.5">
      <c r="B44" s="160" t="str">
        <f t="shared" si="3"/>
        <v/>
      </c>
      <c r="C44" s="470">
        <f>IF(D11="","-",+C43+1)</f>
        <v>2041</v>
      </c>
      <c r="D44" s="483">
        <f>IF(F43+SUM(E$17:E43)=D$10,F43,D$10-SUM(E$17:E43))</f>
        <v>1817307.546975967</v>
      </c>
      <c r="E44" s="482">
        <f t="shared" si="19"/>
        <v>129725.07794871792</v>
      </c>
      <c r="F44" s="483">
        <f t="shared" si="20"/>
        <v>1687582.4690272491</v>
      </c>
      <c r="G44" s="484">
        <f t="shared" si="21"/>
        <v>338895.07518753048</v>
      </c>
      <c r="H44" s="453">
        <f t="shared" si="22"/>
        <v>338895.07518753048</v>
      </c>
      <c r="I44" s="473">
        <f t="shared" si="4"/>
        <v>0</v>
      </c>
      <c r="J44" s="473"/>
      <c r="K44" s="485"/>
      <c r="L44" s="476">
        <f t="shared" si="23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 ht="12.5">
      <c r="B45" s="160" t="str">
        <f t="shared" si="3"/>
        <v/>
      </c>
      <c r="C45" s="470">
        <f>IF(D11="","-",+C44+1)</f>
        <v>2042</v>
      </c>
      <c r="D45" s="483">
        <f>IF(F44+SUM(E$17:E44)=D$10,F44,D$10-SUM(E$17:E44))</f>
        <v>1687582.4690272491</v>
      </c>
      <c r="E45" s="482">
        <f t="shared" si="19"/>
        <v>129725.07794871792</v>
      </c>
      <c r="F45" s="483">
        <f t="shared" si="20"/>
        <v>1557857.3910785313</v>
      </c>
      <c r="G45" s="484">
        <f t="shared" si="21"/>
        <v>323411.22600970045</v>
      </c>
      <c r="H45" s="453">
        <f t="shared" si="22"/>
        <v>323411.22600970045</v>
      </c>
      <c r="I45" s="473">
        <f t="shared" si="4"/>
        <v>0</v>
      </c>
      <c r="J45" s="473"/>
      <c r="K45" s="485"/>
      <c r="L45" s="476">
        <f t="shared" si="23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 ht="12.5">
      <c r="B46" s="160" t="str">
        <f t="shared" si="3"/>
        <v/>
      </c>
      <c r="C46" s="470">
        <f>IF(D11="","-",+C45+1)</f>
        <v>2043</v>
      </c>
      <c r="D46" s="483">
        <f>IF(F45+SUM(E$17:E45)=D$10,F45,D$10-SUM(E$17:E45))</f>
        <v>1557857.3910785313</v>
      </c>
      <c r="E46" s="482">
        <f t="shared" si="19"/>
        <v>129725.07794871792</v>
      </c>
      <c r="F46" s="483">
        <f t="shared" si="20"/>
        <v>1428132.3131298134</v>
      </c>
      <c r="G46" s="484">
        <f t="shared" si="21"/>
        <v>307927.37683187041</v>
      </c>
      <c r="H46" s="453">
        <f t="shared" si="22"/>
        <v>307927.37683187041</v>
      </c>
      <c r="I46" s="473">
        <f t="shared" si="4"/>
        <v>0</v>
      </c>
      <c r="J46" s="473"/>
      <c r="K46" s="485"/>
      <c r="L46" s="476">
        <f t="shared" si="23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 ht="12.5">
      <c r="B47" s="160" t="str">
        <f t="shared" si="3"/>
        <v/>
      </c>
      <c r="C47" s="470">
        <f>IF(D11="","-",+C46+1)</f>
        <v>2044</v>
      </c>
      <c r="D47" s="483">
        <f>IF(F46+SUM(E$17:E46)=D$10,F46,D$10-SUM(E$17:E46))</f>
        <v>1428132.3131298134</v>
      </c>
      <c r="E47" s="482">
        <f t="shared" si="19"/>
        <v>129725.07794871792</v>
      </c>
      <c r="F47" s="483">
        <f t="shared" si="20"/>
        <v>1298407.2351810955</v>
      </c>
      <c r="G47" s="484">
        <f t="shared" si="21"/>
        <v>292443.52765404037</v>
      </c>
      <c r="H47" s="453">
        <f t="shared" si="22"/>
        <v>292443.52765404037</v>
      </c>
      <c r="I47" s="473">
        <f t="shared" si="4"/>
        <v>0</v>
      </c>
      <c r="J47" s="473"/>
      <c r="K47" s="485"/>
      <c r="L47" s="476">
        <f t="shared" si="23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 ht="12.5">
      <c r="B48" s="160" t="str">
        <f t="shared" si="3"/>
        <v/>
      </c>
      <c r="C48" s="470">
        <f>IF(D11="","-",+C47+1)</f>
        <v>2045</v>
      </c>
      <c r="D48" s="483">
        <f>IF(F47+SUM(E$17:E47)=D$10,F47,D$10-SUM(E$17:E47))</f>
        <v>1298407.2351810955</v>
      </c>
      <c r="E48" s="482">
        <f t="shared" si="19"/>
        <v>129725.07794871792</v>
      </c>
      <c r="F48" s="483">
        <f t="shared" si="20"/>
        <v>1168682.1572323777</v>
      </c>
      <c r="G48" s="484">
        <f t="shared" si="21"/>
        <v>276959.67847621033</v>
      </c>
      <c r="H48" s="453">
        <f t="shared" si="22"/>
        <v>276959.67847621033</v>
      </c>
      <c r="I48" s="473">
        <f t="shared" si="4"/>
        <v>0</v>
      </c>
      <c r="J48" s="473"/>
      <c r="K48" s="485"/>
      <c r="L48" s="476">
        <f t="shared" si="23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 ht="12.5">
      <c r="B49" s="160" t="str">
        <f t="shared" si="3"/>
        <v/>
      </c>
      <c r="C49" s="470">
        <f>IF(D11="","-",+C48+1)</f>
        <v>2046</v>
      </c>
      <c r="D49" s="483">
        <f>IF(F48+SUM(E$17:E48)=D$10,F48,D$10-SUM(E$17:E48))</f>
        <v>1168682.1572323777</v>
      </c>
      <c r="E49" s="482">
        <f t="shared" si="19"/>
        <v>129725.07794871792</v>
      </c>
      <c r="F49" s="483">
        <f t="shared" si="20"/>
        <v>1038957.0792836598</v>
      </c>
      <c r="G49" s="484">
        <f t="shared" si="21"/>
        <v>261475.82929838027</v>
      </c>
      <c r="H49" s="453">
        <f t="shared" si="22"/>
        <v>261475.82929838027</v>
      </c>
      <c r="I49" s="473">
        <f t="shared" si="4"/>
        <v>0</v>
      </c>
      <c r="J49" s="473"/>
      <c r="K49" s="485"/>
      <c r="L49" s="476">
        <f t="shared" si="23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 ht="12.5">
      <c r="B50" s="160" t="str">
        <f t="shared" si="3"/>
        <v/>
      </c>
      <c r="C50" s="470">
        <f>IF(D11="","-",+C49+1)</f>
        <v>2047</v>
      </c>
      <c r="D50" s="483">
        <f>IF(F49+SUM(E$17:E49)=D$10,F49,D$10-SUM(E$17:E49))</f>
        <v>1038957.0792836598</v>
      </c>
      <c r="E50" s="482">
        <f t="shared" si="19"/>
        <v>129725.07794871792</v>
      </c>
      <c r="F50" s="483">
        <f t="shared" si="20"/>
        <v>909232.00133494195</v>
      </c>
      <c r="G50" s="484">
        <f t="shared" si="21"/>
        <v>245991.9801205502</v>
      </c>
      <c r="H50" s="453">
        <f t="shared" si="22"/>
        <v>245991.9801205502</v>
      </c>
      <c r="I50" s="473">
        <f t="shared" si="4"/>
        <v>0</v>
      </c>
      <c r="J50" s="473"/>
      <c r="K50" s="485"/>
      <c r="L50" s="476">
        <f t="shared" si="23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 ht="12.5">
      <c r="B51" s="160" t="str">
        <f t="shared" si="3"/>
        <v/>
      </c>
      <c r="C51" s="470">
        <f>IF(D11="","-",+C50+1)</f>
        <v>2048</v>
      </c>
      <c r="D51" s="483">
        <f>IF(F50+SUM(E$17:E50)=D$10,F50,D$10-SUM(E$17:E50))</f>
        <v>909232.00133494195</v>
      </c>
      <c r="E51" s="482">
        <f t="shared" si="19"/>
        <v>129725.07794871792</v>
      </c>
      <c r="F51" s="483">
        <f t="shared" si="20"/>
        <v>779506.92338622408</v>
      </c>
      <c r="G51" s="484">
        <f t="shared" si="21"/>
        <v>230508.13094272016</v>
      </c>
      <c r="H51" s="453">
        <f t="shared" si="22"/>
        <v>230508.13094272016</v>
      </c>
      <c r="I51" s="473">
        <f t="shared" si="4"/>
        <v>0</v>
      </c>
      <c r="J51" s="473"/>
      <c r="K51" s="485"/>
      <c r="L51" s="476">
        <f t="shared" si="23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 ht="12.5">
      <c r="B52" s="160" t="str">
        <f t="shared" si="3"/>
        <v/>
      </c>
      <c r="C52" s="470">
        <f>IF(D11="","-",+C51+1)</f>
        <v>2049</v>
      </c>
      <c r="D52" s="483">
        <f>IF(F51+SUM(E$17:E51)=D$10,F51,D$10-SUM(E$17:E51))</f>
        <v>779506.92338622408</v>
      </c>
      <c r="E52" s="482">
        <f t="shared" si="19"/>
        <v>129725.07794871792</v>
      </c>
      <c r="F52" s="483">
        <f t="shared" si="20"/>
        <v>649781.84543750621</v>
      </c>
      <c r="G52" s="484">
        <f t="shared" si="21"/>
        <v>215024.28176489013</v>
      </c>
      <c r="H52" s="453">
        <f t="shared" si="22"/>
        <v>215024.28176489013</v>
      </c>
      <c r="I52" s="473">
        <f t="shared" si="4"/>
        <v>0</v>
      </c>
      <c r="J52" s="473"/>
      <c r="K52" s="485"/>
      <c r="L52" s="476">
        <f t="shared" si="23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 ht="12.5">
      <c r="B53" s="160" t="str">
        <f t="shared" si="3"/>
        <v/>
      </c>
      <c r="C53" s="470">
        <f>IF(D11="","-",+C52+1)</f>
        <v>2050</v>
      </c>
      <c r="D53" s="483">
        <f>IF(F52+SUM(E$17:E52)=D$10,F52,D$10-SUM(E$17:E52))</f>
        <v>649781.84543750621</v>
      </c>
      <c r="E53" s="482">
        <f t="shared" si="19"/>
        <v>129725.07794871792</v>
      </c>
      <c r="F53" s="483">
        <f t="shared" si="20"/>
        <v>520056.76748878829</v>
      </c>
      <c r="G53" s="484">
        <f t="shared" si="21"/>
        <v>199540.43258706009</v>
      </c>
      <c r="H53" s="453">
        <f t="shared" si="22"/>
        <v>199540.43258706009</v>
      </c>
      <c r="I53" s="473">
        <f t="shared" si="4"/>
        <v>0</v>
      </c>
      <c r="J53" s="473"/>
      <c r="K53" s="485"/>
      <c r="L53" s="476">
        <f t="shared" si="23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 ht="12.5">
      <c r="B54" s="160" t="str">
        <f t="shared" si="3"/>
        <v/>
      </c>
      <c r="C54" s="470">
        <f>IF(D11="","-",+C53+1)</f>
        <v>2051</v>
      </c>
      <c r="D54" s="483">
        <f>IF(F53+SUM(E$17:E53)=D$10,F53,D$10-SUM(E$17:E53))</f>
        <v>520056.76748878829</v>
      </c>
      <c r="E54" s="482">
        <f t="shared" si="19"/>
        <v>129725.07794871792</v>
      </c>
      <c r="F54" s="483">
        <f t="shared" si="20"/>
        <v>390331.68954007037</v>
      </c>
      <c r="G54" s="484">
        <f t="shared" si="21"/>
        <v>184056.58340923005</v>
      </c>
      <c r="H54" s="453">
        <f t="shared" si="22"/>
        <v>184056.58340923005</v>
      </c>
      <c r="I54" s="473">
        <f t="shared" si="4"/>
        <v>0</v>
      </c>
      <c r="J54" s="473"/>
      <c r="K54" s="485"/>
      <c r="L54" s="476">
        <f t="shared" si="23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 ht="12.5">
      <c r="B55" s="160" t="str">
        <f t="shared" si="3"/>
        <v/>
      </c>
      <c r="C55" s="470">
        <f>IF(D11="","-",+C54+1)</f>
        <v>2052</v>
      </c>
      <c r="D55" s="483">
        <f>IF(F54+SUM(E$17:E54)=D$10,F54,D$10-SUM(E$17:E54))</f>
        <v>390331.68954007037</v>
      </c>
      <c r="E55" s="482">
        <f t="shared" si="19"/>
        <v>129725.07794871792</v>
      </c>
      <c r="F55" s="483">
        <f t="shared" si="20"/>
        <v>260606.61159135244</v>
      </c>
      <c r="G55" s="484">
        <f t="shared" si="21"/>
        <v>168572.73423140001</v>
      </c>
      <c r="H55" s="453">
        <f t="shared" si="22"/>
        <v>168572.73423140001</v>
      </c>
      <c r="I55" s="473">
        <f t="shared" si="4"/>
        <v>0</v>
      </c>
      <c r="J55" s="473"/>
      <c r="K55" s="485"/>
      <c r="L55" s="476">
        <f t="shared" si="23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 ht="12.5">
      <c r="B56" s="160" t="str">
        <f t="shared" si="3"/>
        <v/>
      </c>
      <c r="C56" s="470">
        <f>IF(D11="","-",+C55+1)</f>
        <v>2053</v>
      </c>
      <c r="D56" s="483">
        <f>IF(F55+SUM(E$17:E55)=D$10,F55,D$10-SUM(E$17:E55))</f>
        <v>260606.61159135244</v>
      </c>
      <c r="E56" s="482">
        <f t="shared" si="19"/>
        <v>129725.07794871792</v>
      </c>
      <c r="F56" s="483">
        <f t="shared" si="20"/>
        <v>130881.53364263452</v>
      </c>
      <c r="G56" s="484">
        <f t="shared" si="21"/>
        <v>153088.88505356995</v>
      </c>
      <c r="H56" s="453">
        <f t="shared" si="22"/>
        <v>153088.88505356995</v>
      </c>
      <c r="I56" s="473">
        <f t="shared" si="4"/>
        <v>0</v>
      </c>
      <c r="J56" s="473"/>
      <c r="K56" s="485"/>
      <c r="L56" s="476">
        <f t="shared" si="23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 ht="12.5">
      <c r="B57" s="160" t="str">
        <f t="shared" si="3"/>
        <v/>
      </c>
      <c r="C57" s="470">
        <f>IF(D11="","-",+C56+1)</f>
        <v>2054</v>
      </c>
      <c r="D57" s="483">
        <f>IF(F56+SUM(E$17:E56)=D$10,F56,D$10-SUM(E$17:E56))</f>
        <v>130881.53364263452</v>
      </c>
      <c r="E57" s="482">
        <f t="shared" si="19"/>
        <v>129725.07794871792</v>
      </c>
      <c r="F57" s="483">
        <f t="shared" si="20"/>
        <v>1156.4556939165923</v>
      </c>
      <c r="G57" s="484">
        <f t="shared" si="21"/>
        <v>137605.03587573991</v>
      </c>
      <c r="H57" s="453">
        <f t="shared" si="22"/>
        <v>137605.03587573991</v>
      </c>
      <c r="I57" s="473">
        <f t="shared" si="4"/>
        <v>0</v>
      </c>
      <c r="J57" s="473"/>
      <c r="K57" s="485"/>
      <c r="L57" s="476">
        <f t="shared" si="23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 ht="12.5">
      <c r="B58" s="160" t="str">
        <f t="shared" si="3"/>
        <v/>
      </c>
      <c r="C58" s="470">
        <f>IF(D11="","-",+C57+1)</f>
        <v>2055</v>
      </c>
      <c r="D58" s="483">
        <f>IF(F57+SUM(E$17:E57)=D$10,F57,D$10-SUM(E$17:E57))</f>
        <v>1156.4556939165923</v>
      </c>
      <c r="E58" s="482">
        <f t="shared" si="19"/>
        <v>1156.4556939165923</v>
      </c>
      <c r="F58" s="483">
        <f t="shared" si="20"/>
        <v>0</v>
      </c>
      <c r="G58" s="484">
        <f t="shared" si="21"/>
        <v>1225.4723629700729</v>
      </c>
      <c r="H58" s="453">
        <f t="shared" si="22"/>
        <v>1225.4723629700729</v>
      </c>
      <c r="I58" s="473">
        <f t="shared" si="4"/>
        <v>0</v>
      </c>
      <c r="J58" s="473"/>
      <c r="K58" s="485"/>
      <c r="L58" s="476">
        <f t="shared" si="23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 ht="12.5">
      <c r="B59" s="160" t="str">
        <f t="shared" si="3"/>
        <v/>
      </c>
      <c r="C59" s="470">
        <f>IF(D11="","-",+C58+1)</f>
        <v>2056</v>
      </c>
      <c r="D59" s="483">
        <f>IF(F58+SUM(E$17:E58)=D$10,F58,D$10-SUM(E$17:E58))</f>
        <v>0</v>
      </c>
      <c r="E59" s="482">
        <f t="shared" si="19"/>
        <v>0</v>
      </c>
      <c r="F59" s="483">
        <f t="shared" si="20"/>
        <v>0</v>
      </c>
      <c r="G59" s="484">
        <f t="shared" si="21"/>
        <v>0</v>
      </c>
      <c r="H59" s="453">
        <f t="shared" si="22"/>
        <v>0</v>
      </c>
      <c r="I59" s="473">
        <f t="shared" si="4"/>
        <v>0</v>
      </c>
      <c r="J59" s="473"/>
      <c r="K59" s="485"/>
      <c r="L59" s="476">
        <f t="shared" si="23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 ht="12.5">
      <c r="B60" s="160" t="str">
        <f t="shared" si="3"/>
        <v/>
      </c>
      <c r="C60" s="470">
        <f>IF(D11="","-",+C59+1)</f>
        <v>2057</v>
      </c>
      <c r="D60" s="483">
        <f>IF(F59+SUM(E$17:E59)=D$10,F59,D$10-SUM(E$17:E59))</f>
        <v>0</v>
      </c>
      <c r="E60" s="482">
        <f t="shared" si="19"/>
        <v>0</v>
      </c>
      <c r="F60" s="483">
        <f t="shared" si="20"/>
        <v>0</v>
      </c>
      <c r="G60" s="484">
        <f t="shared" si="21"/>
        <v>0</v>
      </c>
      <c r="H60" s="453">
        <f t="shared" si="22"/>
        <v>0</v>
      </c>
      <c r="I60" s="473">
        <f t="shared" si="4"/>
        <v>0</v>
      </c>
      <c r="J60" s="473"/>
      <c r="K60" s="485"/>
      <c r="L60" s="476">
        <f t="shared" si="23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 ht="12.5">
      <c r="B61" s="160" t="str">
        <f t="shared" si="3"/>
        <v/>
      </c>
      <c r="C61" s="470">
        <f>IF(D11="","-",+C60+1)</f>
        <v>2058</v>
      </c>
      <c r="D61" s="483">
        <f>IF(F60+SUM(E$17:E60)=D$10,F60,D$10-SUM(E$17:E60))</f>
        <v>0</v>
      </c>
      <c r="E61" s="482">
        <f t="shared" si="19"/>
        <v>0</v>
      </c>
      <c r="F61" s="483">
        <f t="shared" si="20"/>
        <v>0</v>
      </c>
      <c r="G61" s="484">
        <f t="shared" si="21"/>
        <v>0</v>
      </c>
      <c r="H61" s="453">
        <f t="shared" si="22"/>
        <v>0</v>
      </c>
      <c r="I61" s="473">
        <f t="shared" si="4"/>
        <v>0</v>
      </c>
      <c r="J61" s="473"/>
      <c r="K61" s="485"/>
      <c r="L61" s="476">
        <f t="shared" si="23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 ht="12.5">
      <c r="B62" s="160" t="str">
        <f t="shared" si="3"/>
        <v/>
      </c>
      <c r="C62" s="470">
        <f>IF(D11="","-",+C61+1)</f>
        <v>2059</v>
      </c>
      <c r="D62" s="483">
        <f>IF(F61+SUM(E$17:E61)=D$10,F61,D$10-SUM(E$17:E61))</f>
        <v>0</v>
      </c>
      <c r="E62" s="482">
        <f t="shared" si="19"/>
        <v>0</v>
      </c>
      <c r="F62" s="483">
        <f t="shared" si="20"/>
        <v>0</v>
      </c>
      <c r="G62" s="484">
        <f t="shared" si="21"/>
        <v>0</v>
      </c>
      <c r="H62" s="453">
        <f t="shared" si="22"/>
        <v>0</v>
      </c>
      <c r="I62" s="473">
        <f t="shared" si="4"/>
        <v>0</v>
      </c>
      <c r="J62" s="473"/>
      <c r="K62" s="485"/>
      <c r="L62" s="476">
        <f t="shared" si="23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 ht="12.5">
      <c r="B63" s="160" t="str">
        <f t="shared" si="3"/>
        <v/>
      </c>
      <c r="C63" s="470">
        <f>IF(D11="","-",+C62+1)</f>
        <v>2060</v>
      </c>
      <c r="D63" s="483">
        <f>IF(F62+SUM(E$17:E62)=D$10,F62,D$10-SUM(E$17:E62))</f>
        <v>0</v>
      </c>
      <c r="E63" s="482">
        <f t="shared" si="19"/>
        <v>0</v>
      </c>
      <c r="F63" s="483">
        <f t="shared" si="20"/>
        <v>0</v>
      </c>
      <c r="G63" s="484">
        <f t="shared" si="21"/>
        <v>0</v>
      </c>
      <c r="H63" s="453">
        <f t="shared" si="22"/>
        <v>0</v>
      </c>
      <c r="I63" s="473">
        <f t="shared" si="4"/>
        <v>0</v>
      </c>
      <c r="J63" s="473"/>
      <c r="K63" s="485"/>
      <c r="L63" s="476">
        <f t="shared" si="23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 ht="12.5">
      <c r="B64" s="160" t="str">
        <f t="shared" si="3"/>
        <v/>
      </c>
      <c r="C64" s="470">
        <f>IF(D11="","-",+C63+1)</f>
        <v>2061</v>
      </c>
      <c r="D64" s="483">
        <f>IF(F63+SUM(E$17:E63)=D$10,F63,D$10-SUM(E$17:E63))</f>
        <v>0</v>
      </c>
      <c r="E64" s="482">
        <f t="shared" si="19"/>
        <v>0</v>
      </c>
      <c r="F64" s="483">
        <f t="shared" si="20"/>
        <v>0</v>
      </c>
      <c r="G64" s="484">
        <f t="shared" si="21"/>
        <v>0</v>
      </c>
      <c r="H64" s="453">
        <f t="shared" si="22"/>
        <v>0</v>
      </c>
      <c r="I64" s="473">
        <f t="shared" si="4"/>
        <v>0</v>
      </c>
      <c r="J64" s="473"/>
      <c r="K64" s="485"/>
      <c r="L64" s="476">
        <f t="shared" si="23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 ht="12.5">
      <c r="B65" s="160" t="str">
        <f t="shared" si="3"/>
        <v/>
      </c>
      <c r="C65" s="470">
        <f>IF(D11="","-",+C64+1)</f>
        <v>2062</v>
      </c>
      <c r="D65" s="483">
        <f>IF(F64+SUM(E$17:E64)=D$10,F64,D$10-SUM(E$17:E64))</f>
        <v>0</v>
      </c>
      <c r="E65" s="482">
        <f t="shared" si="19"/>
        <v>0</v>
      </c>
      <c r="F65" s="483">
        <f t="shared" si="20"/>
        <v>0</v>
      </c>
      <c r="G65" s="484">
        <f t="shared" si="21"/>
        <v>0</v>
      </c>
      <c r="H65" s="453">
        <f t="shared" si="22"/>
        <v>0</v>
      </c>
      <c r="I65" s="473">
        <f t="shared" si="4"/>
        <v>0</v>
      </c>
      <c r="J65" s="473"/>
      <c r="K65" s="485"/>
      <c r="L65" s="476">
        <f t="shared" si="23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 ht="12.5">
      <c r="B66" s="160" t="str">
        <f t="shared" si="3"/>
        <v/>
      </c>
      <c r="C66" s="470">
        <f>IF(D11="","-",+C65+1)</f>
        <v>2063</v>
      </c>
      <c r="D66" s="483">
        <f>IF(F65+SUM(E$17:E65)=D$10,F65,D$10-SUM(E$17:E65))</f>
        <v>0</v>
      </c>
      <c r="E66" s="482">
        <f t="shared" si="19"/>
        <v>0</v>
      </c>
      <c r="F66" s="483">
        <f t="shared" si="20"/>
        <v>0</v>
      </c>
      <c r="G66" s="484">
        <f t="shared" si="21"/>
        <v>0</v>
      </c>
      <c r="H66" s="453">
        <f t="shared" si="22"/>
        <v>0</v>
      </c>
      <c r="I66" s="473">
        <f t="shared" si="4"/>
        <v>0</v>
      </c>
      <c r="J66" s="473"/>
      <c r="K66" s="485"/>
      <c r="L66" s="476">
        <f t="shared" si="23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 ht="12.5">
      <c r="B67" s="160" t="str">
        <f t="shared" si="3"/>
        <v/>
      </c>
      <c r="C67" s="470">
        <f>IF(D11="","-",+C66+1)</f>
        <v>2064</v>
      </c>
      <c r="D67" s="483">
        <f>IF(F66+SUM(E$17:E66)=D$10,F66,D$10-SUM(E$17:E66))</f>
        <v>0</v>
      </c>
      <c r="E67" s="482">
        <f t="shared" si="19"/>
        <v>0</v>
      </c>
      <c r="F67" s="483">
        <f t="shared" si="20"/>
        <v>0</v>
      </c>
      <c r="G67" s="484">
        <f t="shared" si="21"/>
        <v>0</v>
      </c>
      <c r="H67" s="453">
        <f t="shared" si="22"/>
        <v>0</v>
      </c>
      <c r="I67" s="473">
        <f t="shared" si="4"/>
        <v>0</v>
      </c>
      <c r="J67" s="473"/>
      <c r="K67" s="485"/>
      <c r="L67" s="476">
        <f t="shared" si="23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 ht="12.5">
      <c r="B68" s="160" t="str">
        <f t="shared" si="3"/>
        <v/>
      </c>
      <c r="C68" s="470">
        <f>IF(D11="","-",+C67+1)</f>
        <v>2065</v>
      </c>
      <c r="D68" s="483">
        <f>IF(F67+SUM(E$17:E67)=D$10,F67,D$10-SUM(E$17:E67))</f>
        <v>0</v>
      </c>
      <c r="E68" s="482">
        <f t="shared" si="19"/>
        <v>0</v>
      </c>
      <c r="F68" s="483">
        <f t="shared" si="20"/>
        <v>0</v>
      </c>
      <c r="G68" s="484">
        <f t="shared" si="21"/>
        <v>0</v>
      </c>
      <c r="H68" s="453">
        <f t="shared" si="22"/>
        <v>0</v>
      </c>
      <c r="I68" s="473">
        <f t="shared" si="4"/>
        <v>0</v>
      </c>
      <c r="J68" s="473"/>
      <c r="K68" s="485"/>
      <c r="L68" s="476">
        <f t="shared" si="23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 ht="12.5">
      <c r="B69" s="160" t="str">
        <f t="shared" si="3"/>
        <v/>
      </c>
      <c r="C69" s="470">
        <f>IF(D11="","-",+C68+1)</f>
        <v>2066</v>
      </c>
      <c r="D69" s="483">
        <f>IF(F68+SUM(E$17:E68)=D$10,F68,D$10-SUM(E$17:E68))</f>
        <v>0</v>
      </c>
      <c r="E69" s="482">
        <f t="shared" si="19"/>
        <v>0</v>
      </c>
      <c r="F69" s="483">
        <f t="shared" si="20"/>
        <v>0</v>
      </c>
      <c r="G69" s="484">
        <f t="shared" si="21"/>
        <v>0</v>
      </c>
      <c r="H69" s="453">
        <f t="shared" si="22"/>
        <v>0</v>
      </c>
      <c r="I69" s="473">
        <f t="shared" si="4"/>
        <v>0</v>
      </c>
      <c r="J69" s="473"/>
      <c r="K69" s="485"/>
      <c r="L69" s="476">
        <f t="shared" si="23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 ht="12.5">
      <c r="B70" s="160" t="str">
        <f t="shared" si="3"/>
        <v/>
      </c>
      <c r="C70" s="470">
        <f>IF(D11="","-",+C69+1)</f>
        <v>2067</v>
      </c>
      <c r="D70" s="483">
        <f>IF(F69+SUM(E$17:E69)=D$10,F69,D$10-SUM(E$17:E69))</f>
        <v>0</v>
      </c>
      <c r="E70" s="482">
        <f t="shared" si="19"/>
        <v>0</v>
      </c>
      <c r="F70" s="483">
        <f t="shared" si="20"/>
        <v>0</v>
      </c>
      <c r="G70" s="484">
        <f t="shared" si="21"/>
        <v>0</v>
      </c>
      <c r="H70" s="453">
        <f t="shared" si="22"/>
        <v>0</v>
      </c>
      <c r="I70" s="473">
        <f t="shared" si="4"/>
        <v>0</v>
      </c>
      <c r="J70" s="473"/>
      <c r="K70" s="485"/>
      <c r="L70" s="476">
        <f t="shared" si="23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 ht="12.5">
      <c r="B71" s="160" t="str">
        <f t="shared" si="3"/>
        <v/>
      </c>
      <c r="C71" s="470">
        <f>IF(D11="","-",+C70+1)</f>
        <v>2068</v>
      </c>
      <c r="D71" s="483">
        <f>IF(F70+SUM(E$17:E70)=D$10,F70,D$10-SUM(E$17:E70))</f>
        <v>0</v>
      </c>
      <c r="E71" s="482">
        <f t="shared" si="19"/>
        <v>0</v>
      </c>
      <c r="F71" s="483">
        <f t="shared" si="20"/>
        <v>0</v>
      </c>
      <c r="G71" s="484">
        <f t="shared" si="21"/>
        <v>0</v>
      </c>
      <c r="H71" s="453">
        <f t="shared" si="22"/>
        <v>0</v>
      </c>
      <c r="I71" s="473">
        <f t="shared" si="4"/>
        <v>0</v>
      </c>
      <c r="J71" s="473"/>
      <c r="K71" s="485"/>
      <c r="L71" s="476">
        <f t="shared" si="23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" thickBot="1">
      <c r="B72" s="160" t="str">
        <f t="shared" si="3"/>
        <v/>
      </c>
      <c r="C72" s="487">
        <f>IF(D11="","-",+C71+1)</f>
        <v>2069</v>
      </c>
      <c r="D72" s="488">
        <f>IF(F71+SUM(E$17:E71)=D$10,F71,D$10-SUM(E$17:E71))</f>
        <v>0</v>
      </c>
      <c r="E72" s="489">
        <f t="shared" si="19"/>
        <v>0</v>
      </c>
      <c r="F72" s="488">
        <f t="shared" si="20"/>
        <v>0</v>
      </c>
      <c r="G72" s="488">
        <f t="shared" si="21"/>
        <v>0</v>
      </c>
      <c r="H72" s="488">
        <f t="shared" si="22"/>
        <v>0</v>
      </c>
      <c r="I72" s="493">
        <f t="shared" si="4"/>
        <v>0</v>
      </c>
      <c r="J72" s="488"/>
      <c r="K72" s="492"/>
      <c r="L72" s="493">
        <f t="shared" si="23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 ht="12.5">
      <c r="C73" s="345" t="s">
        <v>77</v>
      </c>
      <c r="D73" s="346"/>
      <c r="E73" s="346">
        <f>SUM(E17:E72)</f>
        <v>5059278.0400000019</v>
      </c>
      <c r="F73" s="346"/>
      <c r="G73" s="346">
        <f>SUM(G17:G72)</f>
        <v>18136904.089496586</v>
      </c>
      <c r="H73" s="346">
        <f>SUM(H17:H72)</f>
        <v>18136904.089496586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16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609862.07794871787</v>
      </c>
      <c r="N87" s="506">
        <f>IF(J92&lt;D11,0,VLOOKUP(J92,C17:O72,11))</f>
        <v>609862.07794871787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597286.87030004105</v>
      </c>
      <c r="N88" s="510">
        <f>IF(J92&lt;D11,0,VLOOKUP(J92,C99:P154,7))</f>
        <v>597286.87030004105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Cornville Station Conversion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-12575.20764867682</v>
      </c>
      <c r="N89" s="515">
        <f>+N88-N87</f>
        <v>-12575.20764867682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TP2011093</v>
      </c>
      <c r="E91" s="520" t="str">
        <f>E9</f>
        <v xml:space="preserve">  SPP Project ID = 30346</v>
      </c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5059278.0399999991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2014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12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133139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2014</v>
      </c>
      <c r="D99" s="582">
        <v>0</v>
      </c>
      <c r="E99" s="583">
        <v>0</v>
      </c>
      <c r="F99" s="584">
        <v>4992922.66</v>
      </c>
      <c r="G99" s="602">
        <v>2496461.33</v>
      </c>
      <c r="H99" s="603">
        <v>350992.25806989282</v>
      </c>
      <c r="I99" s="604">
        <v>350992.25806989282</v>
      </c>
      <c r="J99" s="476">
        <v>0</v>
      </c>
      <c r="K99" s="476"/>
      <c r="L99" s="474">
        <f t="shared" ref="L99:L104" si="24">H99</f>
        <v>350992.25806989282</v>
      </c>
      <c r="M99" s="347">
        <f t="shared" ref="M99:M104" si="25">IF(L99&lt;&gt;0,+H99-L99,0)</f>
        <v>0</v>
      </c>
      <c r="N99" s="474">
        <f t="shared" ref="N99:N104" si="26">I99</f>
        <v>350992.25806989282</v>
      </c>
      <c r="O99" s="473">
        <f>IF(N99&lt;&gt;0,+I99-N99,0)</f>
        <v>0</v>
      </c>
      <c r="P99" s="476">
        <f>+O99-M99</f>
        <v>0</v>
      </c>
    </row>
    <row r="100" spans="1:16" ht="12.5">
      <c r="B100" s="160" t="str">
        <f>IF(D100=F99,"","IU")</f>
        <v>IU</v>
      </c>
      <c r="C100" s="470">
        <f>IF(D93="","-",+C99+1)</f>
        <v>2015</v>
      </c>
      <c r="D100" s="582">
        <v>5071338</v>
      </c>
      <c r="E100" s="583">
        <v>97526</v>
      </c>
      <c r="F100" s="584">
        <v>4973812</v>
      </c>
      <c r="G100" s="584">
        <v>5022575</v>
      </c>
      <c r="H100" s="603">
        <v>782815.97525692882</v>
      </c>
      <c r="I100" s="604">
        <v>782815.97525692882</v>
      </c>
      <c r="J100" s="476">
        <f>+I100-H100</f>
        <v>0</v>
      </c>
      <c r="K100" s="476"/>
      <c r="L100" s="474">
        <f t="shared" si="24"/>
        <v>782815.97525692882</v>
      </c>
      <c r="M100" s="347">
        <f t="shared" si="25"/>
        <v>0</v>
      </c>
      <c r="N100" s="474">
        <f t="shared" si="26"/>
        <v>782815.97525692882</v>
      </c>
      <c r="O100" s="473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27">IF(D101=F100,"","IU")</f>
        <v>IU</v>
      </c>
      <c r="C101" s="470">
        <f>IF(D93="","-",+C100+1)</f>
        <v>2016</v>
      </c>
      <c r="D101" s="582">
        <v>4961752</v>
      </c>
      <c r="E101" s="583">
        <v>109984</v>
      </c>
      <c r="F101" s="584">
        <v>4851768</v>
      </c>
      <c r="G101" s="584">
        <v>4906760</v>
      </c>
      <c r="H101" s="603">
        <v>742542.63994670648</v>
      </c>
      <c r="I101" s="604">
        <v>742542.63994670648</v>
      </c>
      <c r="J101" s="476">
        <f t="shared" ref="J101:J154" si="28">+I101-H101</f>
        <v>0</v>
      </c>
      <c r="K101" s="476"/>
      <c r="L101" s="474">
        <f t="shared" si="24"/>
        <v>742542.63994670648</v>
      </c>
      <c r="M101" s="347">
        <f t="shared" si="25"/>
        <v>0</v>
      </c>
      <c r="N101" s="474">
        <f t="shared" si="26"/>
        <v>742542.63994670648</v>
      </c>
      <c r="O101" s="473">
        <f>IF(N101&lt;&gt;0,+I101-N101,0)</f>
        <v>0</v>
      </c>
      <c r="P101" s="476">
        <f>+O101-M101</f>
        <v>0</v>
      </c>
    </row>
    <row r="102" spans="1:16" ht="12.5">
      <c r="B102" s="160" t="str">
        <f t="shared" si="27"/>
        <v/>
      </c>
      <c r="C102" s="470">
        <f>IF(D93="","-",+C101+1)</f>
        <v>2017</v>
      </c>
      <c r="D102" s="582">
        <v>4851768</v>
      </c>
      <c r="E102" s="583">
        <v>109984</v>
      </c>
      <c r="F102" s="584">
        <v>4741784</v>
      </c>
      <c r="G102" s="584">
        <v>4796776</v>
      </c>
      <c r="H102" s="603">
        <v>718467.13067498105</v>
      </c>
      <c r="I102" s="604">
        <v>718467.13067498105</v>
      </c>
      <c r="J102" s="476">
        <f t="shared" si="28"/>
        <v>0</v>
      </c>
      <c r="K102" s="476"/>
      <c r="L102" s="474">
        <f t="shared" si="24"/>
        <v>718467.13067498105</v>
      </c>
      <c r="M102" s="347">
        <f t="shared" si="25"/>
        <v>0</v>
      </c>
      <c r="N102" s="474">
        <f t="shared" si="26"/>
        <v>718467.13067498105</v>
      </c>
      <c r="O102" s="473">
        <f>IF(N102&lt;&gt;0,+I102-N102,0)</f>
        <v>0</v>
      </c>
      <c r="P102" s="476">
        <f>+O102-M102</f>
        <v>0</v>
      </c>
    </row>
    <row r="103" spans="1:16" ht="12.5">
      <c r="B103" s="160" t="str">
        <f t="shared" si="27"/>
        <v/>
      </c>
      <c r="C103" s="470">
        <f>IF(D93="","-",+C102+1)</f>
        <v>2018</v>
      </c>
      <c r="D103" s="582">
        <v>4741784</v>
      </c>
      <c r="E103" s="583">
        <v>117658</v>
      </c>
      <c r="F103" s="584">
        <v>4624126</v>
      </c>
      <c r="G103" s="584">
        <v>4682955</v>
      </c>
      <c r="H103" s="603">
        <v>598764.03634994966</v>
      </c>
      <c r="I103" s="604">
        <v>598764.03634994966</v>
      </c>
      <c r="J103" s="476">
        <f t="shared" si="28"/>
        <v>0</v>
      </c>
      <c r="K103" s="476"/>
      <c r="L103" s="474">
        <f t="shared" si="24"/>
        <v>598764.03634994966</v>
      </c>
      <c r="M103" s="347">
        <f t="shared" si="25"/>
        <v>0</v>
      </c>
      <c r="N103" s="474">
        <f t="shared" si="26"/>
        <v>598764.03634994966</v>
      </c>
      <c r="O103" s="473">
        <f>IF(N103&lt;&gt;0,+I103-N103,0)</f>
        <v>0</v>
      </c>
      <c r="P103" s="476">
        <f>+O103-M103</f>
        <v>0</v>
      </c>
    </row>
    <row r="104" spans="1:16" ht="12.5">
      <c r="B104" s="160" t="str">
        <f t="shared" si="27"/>
        <v/>
      </c>
      <c r="C104" s="470">
        <f>IF(D93="","-",+C103+1)</f>
        <v>2019</v>
      </c>
      <c r="D104" s="582">
        <v>4624126</v>
      </c>
      <c r="E104" s="583">
        <v>123397</v>
      </c>
      <c r="F104" s="584">
        <v>4500729</v>
      </c>
      <c r="G104" s="584">
        <v>4562427.5</v>
      </c>
      <c r="H104" s="603">
        <v>593847.268225985</v>
      </c>
      <c r="I104" s="604">
        <v>593847.268225985</v>
      </c>
      <c r="J104" s="476">
        <f t="shared" si="28"/>
        <v>0</v>
      </c>
      <c r="K104" s="476"/>
      <c r="L104" s="474">
        <f t="shared" si="24"/>
        <v>593847.268225985</v>
      </c>
      <c r="M104" s="347">
        <f t="shared" si="25"/>
        <v>0</v>
      </c>
      <c r="N104" s="474">
        <f t="shared" si="26"/>
        <v>593847.268225985</v>
      </c>
      <c r="O104" s="476">
        <f t="shared" ref="O104:O130" si="29">IF(N104&lt;&gt;0,+I104-N104,0)</f>
        <v>0</v>
      </c>
      <c r="P104" s="476">
        <f t="shared" ref="P104:P130" si="30">+O104-M104</f>
        <v>0</v>
      </c>
    </row>
    <row r="105" spans="1:16" ht="12.5">
      <c r="B105" s="160" t="str">
        <f t="shared" si="27"/>
        <v/>
      </c>
      <c r="C105" s="470">
        <f>IF(D93="","-",+C104+1)</f>
        <v>2020</v>
      </c>
      <c r="D105" s="582">
        <v>4500729</v>
      </c>
      <c r="E105" s="583">
        <v>117658</v>
      </c>
      <c r="F105" s="584">
        <v>4383071</v>
      </c>
      <c r="G105" s="584">
        <v>4441900</v>
      </c>
      <c r="H105" s="603">
        <v>629796.85800289037</v>
      </c>
      <c r="I105" s="604">
        <v>629796.85800289037</v>
      </c>
      <c r="J105" s="476">
        <f t="shared" si="28"/>
        <v>0</v>
      </c>
      <c r="K105" s="476"/>
      <c r="L105" s="474">
        <f t="shared" ref="L105" si="31">H105</f>
        <v>629796.85800289037</v>
      </c>
      <c r="M105" s="347">
        <f t="shared" ref="M105" si="32">IF(L105&lt;&gt;0,+H105-L105,0)</f>
        <v>0</v>
      </c>
      <c r="N105" s="474">
        <f t="shared" ref="N105" si="33">I105</f>
        <v>629796.85800289037</v>
      </c>
      <c r="O105" s="476">
        <f t="shared" si="29"/>
        <v>0</v>
      </c>
      <c r="P105" s="476">
        <f t="shared" si="30"/>
        <v>0</v>
      </c>
    </row>
    <row r="106" spans="1:16" ht="12.5">
      <c r="B106" s="160" t="str">
        <f t="shared" si="27"/>
        <v/>
      </c>
      <c r="C106" s="470">
        <f>IF(D93="","-",+C105+1)</f>
        <v>2021</v>
      </c>
      <c r="D106" s="582">
        <v>4383071</v>
      </c>
      <c r="E106" s="583">
        <v>123397</v>
      </c>
      <c r="F106" s="584">
        <v>4259674</v>
      </c>
      <c r="G106" s="584">
        <v>4321372.5</v>
      </c>
      <c r="H106" s="603">
        <v>615138.04650435934</v>
      </c>
      <c r="I106" s="604">
        <v>615138.04650435934</v>
      </c>
      <c r="J106" s="476">
        <f t="shared" si="28"/>
        <v>0</v>
      </c>
      <c r="K106" s="476"/>
      <c r="L106" s="474">
        <f t="shared" ref="L106" si="34">H106</f>
        <v>615138.04650435934</v>
      </c>
      <c r="M106" s="347">
        <f t="shared" ref="M106" si="35">IF(L106&lt;&gt;0,+H106-L106,0)</f>
        <v>0</v>
      </c>
      <c r="N106" s="474">
        <f t="shared" ref="N106" si="36">I106</f>
        <v>615138.04650435934</v>
      </c>
      <c r="O106" s="476">
        <f t="shared" si="29"/>
        <v>0</v>
      </c>
      <c r="P106" s="476">
        <f t="shared" si="30"/>
        <v>0</v>
      </c>
    </row>
    <row r="107" spans="1:16" ht="12.5">
      <c r="B107" s="160" t="str">
        <f t="shared" si="27"/>
        <v/>
      </c>
      <c r="C107" s="470">
        <f>IF(D93="","-",+C106+1)</f>
        <v>2022</v>
      </c>
      <c r="D107" s="582">
        <v>4259674</v>
      </c>
      <c r="E107" s="583">
        <v>129725</v>
      </c>
      <c r="F107" s="584">
        <v>4129949</v>
      </c>
      <c r="G107" s="584">
        <v>4194811.5</v>
      </c>
      <c r="H107" s="603">
        <v>591920.45938328374</v>
      </c>
      <c r="I107" s="604">
        <v>591920.45938328374</v>
      </c>
      <c r="J107" s="476">
        <f t="shared" si="28"/>
        <v>0</v>
      </c>
      <c r="K107" s="476"/>
      <c r="L107" s="474">
        <f t="shared" ref="L107" si="37">H107</f>
        <v>591920.45938328374</v>
      </c>
      <c r="M107" s="347">
        <f t="shared" ref="M107" si="38">IF(L107&lt;&gt;0,+H107-L107,0)</f>
        <v>0</v>
      </c>
      <c r="N107" s="474">
        <f t="shared" ref="N107" si="39">I107</f>
        <v>591920.45938328374</v>
      </c>
      <c r="O107" s="476">
        <f t="shared" ref="O107" si="40">IF(N107&lt;&gt;0,+I107-N107,0)</f>
        <v>0</v>
      </c>
      <c r="P107" s="476">
        <f t="shared" ref="P107" si="41">+O107-M107</f>
        <v>0</v>
      </c>
    </row>
    <row r="108" spans="1:16" ht="12.5">
      <c r="B108" s="160" t="str">
        <f t="shared" si="27"/>
        <v>IU</v>
      </c>
      <c r="C108" s="470">
        <f>IF(D93="","-",+C107+1)</f>
        <v>2023</v>
      </c>
      <c r="D108" s="345">
        <f>IF(F107+SUM(E$99:E107)=D$92,F107,D$92-SUM(E$99:E107))</f>
        <v>4129949.0399999991</v>
      </c>
      <c r="E108" s="482">
        <f t="shared" ref="E108:E154" si="42">IF(+J$96&lt;F107,J$96,D108)</f>
        <v>133139</v>
      </c>
      <c r="F108" s="483">
        <f t="shared" ref="F108:F154" si="43">+D108-E108</f>
        <v>3996810.0399999991</v>
      </c>
      <c r="G108" s="483">
        <f t="shared" ref="G108:G154" si="44">+(F108+D108)/2</f>
        <v>4063379.5399999991</v>
      </c>
      <c r="H108" s="484">
        <f t="shared" ref="H108:H153" si="45">(D108+F108)/2*J$94+E108</f>
        <v>597286.87030004105</v>
      </c>
      <c r="I108" s="540">
        <f t="shared" ref="I108:I153" si="46">+J$95*G108+E108</f>
        <v>597286.87030004105</v>
      </c>
      <c r="J108" s="476">
        <f t="shared" si="28"/>
        <v>0</v>
      </c>
      <c r="K108" s="476"/>
      <c r="L108" s="485"/>
      <c r="M108" s="476">
        <f t="shared" ref="M108:M130" si="47">IF(L108&lt;&gt;0,+H108-L108,0)</f>
        <v>0</v>
      </c>
      <c r="N108" s="485"/>
      <c r="O108" s="476">
        <f t="shared" si="29"/>
        <v>0</v>
      </c>
      <c r="P108" s="476">
        <f t="shared" si="30"/>
        <v>0</v>
      </c>
    </row>
    <row r="109" spans="1:16" ht="12.5">
      <c r="B109" s="160" t="str">
        <f t="shared" si="27"/>
        <v/>
      </c>
      <c r="C109" s="470">
        <f>IF(D93="","-",+C108+1)</f>
        <v>2024</v>
      </c>
      <c r="D109" s="345">
        <f>IF(F108+SUM(E$99:E108)=D$92,F108,D$92-SUM(E$99:E108))</f>
        <v>3996810.0399999991</v>
      </c>
      <c r="E109" s="482">
        <f t="shared" si="42"/>
        <v>133139</v>
      </c>
      <c r="F109" s="483">
        <f t="shared" si="43"/>
        <v>3863671.0399999991</v>
      </c>
      <c r="G109" s="483">
        <f t="shared" si="44"/>
        <v>3930240.5399999991</v>
      </c>
      <c r="H109" s="484">
        <f t="shared" si="45"/>
        <v>582078.79468329053</v>
      </c>
      <c r="I109" s="540">
        <f t="shared" si="46"/>
        <v>582078.79468329053</v>
      </c>
      <c r="J109" s="476">
        <f t="shared" si="28"/>
        <v>0</v>
      </c>
      <c r="K109" s="476"/>
      <c r="L109" s="485"/>
      <c r="M109" s="476">
        <f t="shared" si="47"/>
        <v>0</v>
      </c>
      <c r="N109" s="485"/>
      <c r="O109" s="476">
        <f t="shared" si="29"/>
        <v>0</v>
      </c>
      <c r="P109" s="476">
        <f t="shared" si="30"/>
        <v>0</v>
      </c>
    </row>
    <row r="110" spans="1:16" ht="12.5">
      <c r="B110" s="160" t="str">
        <f t="shared" si="27"/>
        <v/>
      </c>
      <c r="C110" s="470">
        <f>IF(D93="","-",+C109+1)</f>
        <v>2025</v>
      </c>
      <c r="D110" s="345">
        <f>IF(F109+SUM(E$99:E109)=D$92,F109,D$92-SUM(E$99:E109))</f>
        <v>3863671.0399999991</v>
      </c>
      <c r="E110" s="482">
        <f t="shared" si="42"/>
        <v>133139</v>
      </c>
      <c r="F110" s="483">
        <f t="shared" si="43"/>
        <v>3730532.0399999991</v>
      </c>
      <c r="G110" s="483">
        <f t="shared" si="44"/>
        <v>3797101.5399999991</v>
      </c>
      <c r="H110" s="484">
        <f t="shared" si="45"/>
        <v>566870.71906654001</v>
      </c>
      <c r="I110" s="540">
        <f t="shared" si="46"/>
        <v>566870.71906654001</v>
      </c>
      <c r="J110" s="476">
        <f t="shared" si="28"/>
        <v>0</v>
      </c>
      <c r="K110" s="476"/>
      <c r="L110" s="485"/>
      <c r="M110" s="476">
        <f t="shared" si="47"/>
        <v>0</v>
      </c>
      <c r="N110" s="485"/>
      <c r="O110" s="476">
        <f t="shared" si="29"/>
        <v>0</v>
      </c>
      <c r="P110" s="476">
        <f t="shared" si="30"/>
        <v>0</v>
      </c>
    </row>
    <row r="111" spans="1:16" ht="12.5">
      <c r="B111" s="160" t="str">
        <f t="shared" si="27"/>
        <v/>
      </c>
      <c r="C111" s="470">
        <f>IF(D93="","-",+C110+1)</f>
        <v>2026</v>
      </c>
      <c r="D111" s="345">
        <f>IF(F110+SUM(E$99:E110)=D$92,F110,D$92-SUM(E$99:E110))</f>
        <v>3730532.0399999991</v>
      </c>
      <c r="E111" s="482">
        <f t="shared" si="42"/>
        <v>133139</v>
      </c>
      <c r="F111" s="483">
        <f t="shared" si="43"/>
        <v>3597393.0399999991</v>
      </c>
      <c r="G111" s="483">
        <f t="shared" si="44"/>
        <v>3663962.5399999991</v>
      </c>
      <c r="H111" s="484">
        <f t="shared" si="45"/>
        <v>551662.64344978938</v>
      </c>
      <c r="I111" s="540">
        <f t="shared" si="46"/>
        <v>551662.64344978938</v>
      </c>
      <c r="J111" s="476">
        <f t="shared" si="28"/>
        <v>0</v>
      </c>
      <c r="K111" s="476"/>
      <c r="L111" s="485"/>
      <c r="M111" s="476">
        <f t="shared" si="47"/>
        <v>0</v>
      </c>
      <c r="N111" s="485"/>
      <c r="O111" s="476">
        <f t="shared" si="29"/>
        <v>0</v>
      </c>
      <c r="P111" s="476">
        <f t="shared" si="30"/>
        <v>0</v>
      </c>
    </row>
    <row r="112" spans="1:16" ht="12.5">
      <c r="B112" s="160" t="str">
        <f t="shared" si="27"/>
        <v/>
      </c>
      <c r="C112" s="470">
        <f>IF(D93="","-",+C111+1)</f>
        <v>2027</v>
      </c>
      <c r="D112" s="345">
        <f>IF(F111+SUM(E$99:E111)=D$92,F111,D$92-SUM(E$99:E111))</f>
        <v>3597393.0399999991</v>
      </c>
      <c r="E112" s="482">
        <f t="shared" si="42"/>
        <v>133139</v>
      </c>
      <c r="F112" s="483">
        <f t="shared" si="43"/>
        <v>3464254.0399999991</v>
      </c>
      <c r="G112" s="483">
        <f t="shared" si="44"/>
        <v>3530823.5399999991</v>
      </c>
      <c r="H112" s="484">
        <f t="shared" si="45"/>
        <v>536454.56783303875</v>
      </c>
      <c r="I112" s="540">
        <f t="shared" si="46"/>
        <v>536454.56783303875</v>
      </c>
      <c r="J112" s="476">
        <f t="shared" si="28"/>
        <v>0</v>
      </c>
      <c r="K112" s="476"/>
      <c r="L112" s="485"/>
      <c r="M112" s="476">
        <f t="shared" si="47"/>
        <v>0</v>
      </c>
      <c r="N112" s="485"/>
      <c r="O112" s="476">
        <f t="shared" si="29"/>
        <v>0</v>
      </c>
      <c r="P112" s="476">
        <f t="shared" si="30"/>
        <v>0</v>
      </c>
    </row>
    <row r="113" spans="2:16" ht="12.5">
      <c r="B113" s="160" t="str">
        <f t="shared" si="27"/>
        <v/>
      </c>
      <c r="C113" s="470">
        <f>IF(D93="","-",+C112+1)</f>
        <v>2028</v>
      </c>
      <c r="D113" s="345">
        <f>IF(F112+SUM(E$99:E112)=D$92,F112,D$92-SUM(E$99:E112))</f>
        <v>3464254.0399999991</v>
      </c>
      <c r="E113" s="482">
        <f t="shared" si="42"/>
        <v>133139</v>
      </c>
      <c r="F113" s="483">
        <f t="shared" si="43"/>
        <v>3331115.0399999991</v>
      </c>
      <c r="G113" s="483">
        <f t="shared" si="44"/>
        <v>3397684.5399999991</v>
      </c>
      <c r="H113" s="484">
        <f t="shared" si="45"/>
        <v>521246.49221628823</v>
      </c>
      <c r="I113" s="540">
        <f t="shared" si="46"/>
        <v>521246.49221628823</v>
      </c>
      <c r="J113" s="476">
        <f t="shared" si="28"/>
        <v>0</v>
      </c>
      <c r="K113" s="476"/>
      <c r="L113" s="485"/>
      <c r="M113" s="476">
        <f t="shared" si="47"/>
        <v>0</v>
      </c>
      <c r="N113" s="485"/>
      <c r="O113" s="476">
        <f t="shared" si="29"/>
        <v>0</v>
      </c>
      <c r="P113" s="476">
        <f t="shared" si="30"/>
        <v>0</v>
      </c>
    </row>
    <row r="114" spans="2:16" ht="12.5">
      <c r="B114" s="160" t="str">
        <f t="shared" si="27"/>
        <v/>
      </c>
      <c r="C114" s="470">
        <f>IF(D93="","-",+C113+1)</f>
        <v>2029</v>
      </c>
      <c r="D114" s="345">
        <f>IF(F113+SUM(E$99:E113)=D$92,F113,D$92-SUM(E$99:E113))</f>
        <v>3331115.0399999991</v>
      </c>
      <c r="E114" s="482">
        <f t="shared" si="42"/>
        <v>133139</v>
      </c>
      <c r="F114" s="483">
        <f t="shared" si="43"/>
        <v>3197976.0399999991</v>
      </c>
      <c r="G114" s="483">
        <f t="shared" si="44"/>
        <v>3264545.5399999991</v>
      </c>
      <c r="H114" s="484">
        <f t="shared" si="45"/>
        <v>506038.4165995376</v>
      </c>
      <c r="I114" s="540">
        <f t="shared" si="46"/>
        <v>506038.4165995376</v>
      </c>
      <c r="J114" s="476">
        <f t="shared" si="28"/>
        <v>0</v>
      </c>
      <c r="K114" s="476"/>
      <c r="L114" s="485"/>
      <c r="M114" s="476">
        <f t="shared" si="47"/>
        <v>0</v>
      </c>
      <c r="N114" s="485"/>
      <c r="O114" s="476">
        <f t="shared" si="29"/>
        <v>0</v>
      </c>
      <c r="P114" s="476">
        <f t="shared" si="30"/>
        <v>0</v>
      </c>
    </row>
    <row r="115" spans="2:16" ht="12.5">
      <c r="B115" s="160" t="str">
        <f t="shared" si="27"/>
        <v/>
      </c>
      <c r="C115" s="470">
        <f>IF(D93="","-",+C114+1)</f>
        <v>2030</v>
      </c>
      <c r="D115" s="345">
        <f>IF(F114+SUM(E$99:E114)=D$92,F114,D$92-SUM(E$99:E114))</f>
        <v>3197976.0399999991</v>
      </c>
      <c r="E115" s="482">
        <f t="shared" si="42"/>
        <v>133139</v>
      </c>
      <c r="F115" s="483">
        <f t="shared" si="43"/>
        <v>3064837.0399999991</v>
      </c>
      <c r="G115" s="483">
        <f t="shared" si="44"/>
        <v>3131406.5399999991</v>
      </c>
      <c r="H115" s="484">
        <f t="shared" si="45"/>
        <v>490830.34098278702</v>
      </c>
      <c r="I115" s="540">
        <f t="shared" si="46"/>
        <v>490830.34098278702</v>
      </c>
      <c r="J115" s="476">
        <f t="shared" si="28"/>
        <v>0</v>
      </c>
      <c r="K115" s="476"/>
      <c r="L115" s="485"/>
      <c r="M115" s="476">
        <f t="shared" si="47"/>
        <v>0</v>
      </c>
      <c r="N115" s="485"/>
      <c r="O115" s="476">
        <f t="shared" si="29"/>
        <v>0</v>
      </c>
      <c r="P115" s="476">
        <f t="shared" si="30"/>
        <v>0</v>
      </c>
    </row>
    <row r="116" spans="2:16" ht="12.5">
      <c r="B116" s="160" t="str">
        <f t="shared" si="27"/>
        <v/>
      </c>
      <c r="C116" s="470">
        <f>IF(D93="","-",+C115+1)</f>
        <v>2031</v>
      </c>
      <c r="D116" s="345">
        <f>IF(F115+SUM(E$99:E115)=D$92,F115,D$92-SUM(E$99:E115))</f>
        <v>3064837.0399999991</v>
      </c>
      <c r="E116" s="482">
        <f t="shared" si="42"/>
        <v>133139</v>
      </c>
      <c r="F116" s="483">
        <f t="shared" si="43"/>
        <v>2931698.0399999991</v>
      </c>
      <c r="G116" s="483">
        <f t="shared" si="44"/>
        <v>2998267.5399999991</v>
      </c>
      <c r="H116" s="484">
        <f t="shared" si="45"/>
        <v>475622.26536603644</v>
      </c>
      <c r="I116" s="540">
        <f t="shared" si="46"/>
        <v>475622.26536603644</v>
      </c>
      <c r="J116" s="476">
        <f t="shared" si="28"/>
        <v>0</v>
      </c>
      <c r="K116" s="476"/>
      <c r="L116" s="485"/>
      <c r="M116" s="476">
        <f t="shared" si="47"/>
        <v>0</v>
      </c>
      <c r="N116" s="485"/>
      <c r="O116" s="476">
        <f t="shared" si="29"/>
        <v>0</v>
      </c>
      <c r="P116" s="476">
        <f t="shared" si="30"/>
        <v>0</v>
      </c>
    </row>
    <row r="117" spans="2:16" ht="12.5">
      <c r="B117" s="160" t="str">
        <f t="shared" si="27"/>
        <v/>
      </c>
      <c r="C117" s="470">
        <f>IF(D93="","-",+C116+1)</f>
        <v>2032</v>
      </c>
      <c r="D117" s="345">
        <f>IF(F116+SUM(E$99:E116)=D$92,F116,D$92-SUM(E$99:E116))</f>
        <v>2931698.0399999991</v>
      </c>
      <c r="E117" s="482">
        <f t="shared" si="42"/>
        <v>133139</v>
      </c>
      <c r="F117" s="483">
        <f t="shared" si="43"/>
        <v>2798559.0399999991</v>
      </c>
      <c r="G117" s="483">
        <f t="shared" si="44"/>
        <v>2865128.5399999991</v>
      </c>
      <c r="H117" s="484">
        <f t="shared" si="45"/>
        <v>460414.18974928587</v>
      </c>
      <c r="I117" s="540">
        <f t="shared" si="46"/>
        <v>460414.18974928587</v>
      </c>
      <c r="J117" s="476">
        <f t="shared" si="28"/>
        <v>0</v>
      </c>
      <c r="K117" s="476"/>
      <c r="L117" s="485"/>
      <c r="M117" s="476">
        <f t="shared" si="47"/>
        <v>0</v>
      </c>
      <c r="N117" s="485"/>
      <c r="O117" s="476">
        <f t="shared" si="29"/>
        <v>0</v>
      </c>
      <c r="P117" s="476">
        <f t="shared" si="30"/>
        <v>0</v>
      </c>
    </row>
    <row r="118" spans="2:16" ht="12.5">
      <c r="B118" s="160" t="str">
        <f t="shared" si="27"/>
        <v/>
      </c>
      <c r="C118" s="470">
        <f>IF(D93="","-",+C117+1)</f>
        <v>2033</v>
      </c>
      <c r="D118" s="345">
        <f>IF(F117+SUM(E$99:E117)=D$92,F117,D$92-SUM(E$99:E117))</f>
        <v>2798559.0399999991</v>
      </c>
      <c r="E118" s="482">
        <f t="shared" si="42"/>
        <v>133139</v>
      </c>
      <c r="F118" s="483">
        <f t="shared" si="43"/>
        <v>2665420.0399999991</v>
      </c>
      <c r="G118" s="483">
        <f t="shared" si="44"/>
        <v>2731989.5399999991</v>
      </c>
      <c r="H118" s="484">
        <f t="shared" si="45"/>
        <v>445206.11413253529</v>
      </c>
      <c r="I118" s="540">
        <f t="shared" si="46"/>
        <v>445206.11413253529</v>
      </c>
      <c r="J118" s="476">
        <f t="shared" si="28"/>
        <v>0</v>
      </c>
      <c r="K118" s="476"/>
      <c r="L118" s="485"/>
      <c r="M118" s="476">
        <f t="shared" si="47"/>
        <v>0</v>
      </c>
      <c r="N118" s="485"/>
      <c r="O118" s="476">
        <f t="shared" si="29"/>
        <v>0</v>
      </c>
      <c r="P118" s="476">
        <f t="shared" si="30"/>
        <v>0</v>
      </c>
    </row>
    <row r="119" spans="2:16" ht="12.5">
      <c r="B119" s="160" t="str">
        <f t="shared" si="27"/>
        <v/>
      </c>
      <c r="C119" s="470">
        <f>IF(D93="","-",+C118+1)</f>
        <v>2034</v>
      </c>
      <c r="D119" s="345">
        <f>IF(F118+SUM(E$99:E118)=D$92,F118,D$92-SUM(E$99:E118))</f>
        <v>2665420.0399999991</v>
      </c>
      <c r="E119" s="482">
        <f t="shared" si="42"/>
        <v>133139</v>
      </c>
      <c r="F119" s="483">
        <f t="shared" si="43"/>
        <v>2532281.0399999991</v>
      </c>
      <c r="G119" s="483">
        <f t="shared" si="44"/>
        <v>2598850.5399999991</v>
      </c>
      <c r="H119" s="484">
        <f t="shared" si="45"/>
        <v>429998.03851578472</v>
      </c>
      <c r="I119" s="540">
        <f t="shared" si="46"/>
        <v>429998.03851578472</v>
      </c>
      <c r="J119" s="476">
        <f t="shared" si="28"/>
        <v>0</v>
      </c>
      <c r="K119" s="476"/>
      <c r="L119" s="485"/>
      <c r="M119" s="476">
        <f t="shared" si="47"/>
        <v>0</v>
      </c>
      <c r="N119" s="485"/>
      <c r="O119" s="476">
        <f t="shared" si="29"/>
        <v>0</v>
      </c>
      <c r="P119" s="476">
        <f t="shared" si="30"/>
        <v>0</v>
      </c>
    </row>
    <row r="120" spans="2:16" ht="12.5">
      <c r="B120" s="160" t="str">
        <f t="shared" si="27"/>
        <v/>
      </c>
      <c r="C120" s="470">
        <f>IF(D93="","-",+C119+1)</f>
        <v>2035</v>
      </c>
      <c r="D120" s="345">
        <f>IF(F119+SUM(E$99:E119)=D$92,F119,D$92-SUM(E$99:E119))</f>
        <v>2532281.0399999991</v>
      </c>
      <c r="E120" s="482">
        <f t="shared" si="42"/>
        <v>133139</v>
      </c>
      <c r="F120" s="483">
        <f t="shared" si="43"/>
        <v>2399142.0399999991</v>
      </c>
      <c r="G120" s="483">
        <f t="shared" si="44"/>
        <v>2465711.5399999991</v>
      </c>
      <c r="H120" s="484">
        <f t="shared" si="45"/>
        <v>414789.96289903414</v>
      </c>
      <c r="I120" s="540">
        <f t="shared" si="46"/>
        <v>414789.96289903414</v>
      </c>
      <c r="J120" s="476">
        <f t="shared" si="28"/>
        <v>0</v>
      </c>
      <c r="K120" s="476"/>
      <c r="L120" s="485"/>
      <c r="M120" s="476">
        <f t="shared" si="47"/>
        <v>0</v>
      </c>
      <c r="N120" s="485"/>
      <c r="O120" s="476">
        <f t="shared" si="29"/>
        <v>0</v>
      </c>
      <c r="P120" s="476">
        <f t="shared" si="30"/>
        <v>0</v>
      </c>
    </row>
    <row r="121" spans="2:16" ht="12.5">
      <c r="B121" s="160" t="str">
        <f t="shared" si="27"/>
        <v/>
      </c>
      <c r="C121" s="470">
        <f>IF(D93="","-",+C120+1)</f>
        <v>2036</v>
      </c>
      <c r="D121" s="345">
        <f>IF(F120+SUM(E$99:E120)=D$92,F120,D$92-SUM(E$99:E120))</f>
        <v>2399142.0399999991</v>
      </c>
      <c r="E121" s="482">
        <f t="shared" si="42"/>
        <v>133139</v>
      </c>
      <c r="F121" s="483">
        <f t="shared" si="43"/>
        <v>2266003.0399999991</v>
      </c>
      <c r="G121" s="483">
        <f t="shared" si="44"/>
        <v>2332572.5399999991</v>
      </c>
      <c r="H121" s="484">
        <f t="shared" si="45"/>
        <v>399581.88728228357</v>
      </c>
      <c r="I121" s="540">
        <f t="shared" si="46"/>
        <v>399581.88728228357</v>
      </c>
      <c r="J121" s="476">
        <f t="shared" si="28"/>
        <v>0</v>
      </c>
      <c r="K121" s="476"/>
      <c r="L121" s="485"/>
      <c r="M121" s="476">
        <f t="shared" si="47"/>
        <v>0</v>
      </c>
      <c r="N121" s="485"/>
      <c r="O121" s="476">
        <f t="shared" si="29"/>
        <v>0</v>
      </c>
      <c r="P121" s="476">
        <f t="shared" si="30"/>
        <v>0</v>
      </c>
    </row>
    <row r="122" spans="2:16" ht="12.5">
      <c r="B122" s="160" t="str">
        <f t="shared" si="27"/>
        <v/>
      </c>
      <c r="C122" s="470">
        <f>IF(D93="","-",+C121+1)</f>
        <v>2037</v>
      </c>
      <c r="D122" s="345">
        <f>IF(F121+SUM(E$99:E121)=D$92,F121,D$92-SUM(E$99:E121))</f>
        <v>2266003.0399999991</v>
      </c>
      <c r="E122" s="482">
        <f t="shared" si="42"/>
        <v>133139</v>
      </c>
      <c r="F122" s="483">
        <f t="shared" si="43"/>
        <v>2132864.0399999991</v>
      </c>
      <c r="G122" s="483">
        <f t="shared" si="44"/>
        <v>2199433.5399999991</v>
      </c>
      <c r="H122" s="484">
        <f t="shared" si="45"/>
        <v>384373.81166553299</v>
      </c>
      <c r="I122" s="540">
        <f t="shared" si="46"/>
        <v>384373.81166553299</v>
      </c>
      <c r="J122" s="476">
        <f t="shared" si="28"/>
        <v>0</v>
      </c>
      <c r="K122" s="476"/>
      <c r="L122" s="485"/>
      <c r="M122" s="476">
        <f t="shared" si="47"/>
        <v>0</v>
      </c>
      <c r="N122" s="485"/>
      <c r="O122" s="476">
        <f t="shared" si="29"/>
        <v>0</v>
      </c>
      <c r="P122" s="476">
        <f t="shared" si="30"/>
        <v>0</v>
      </c>
    </row>
    <row r="123" spans="2:16" ht="12.5">
      <c r="B123" s="160" t="str">
        <f t="shared" si="27"/>
        <v/>
      </c>
      <c r="C123" s="470">
        <f>IF(D93="","-",+C122+1)</f>
        <v>2038</v>
      </c>
      <c r="D123" s="345">
        <f>IF(F122+SUM(E$99:E122)=D$92,F122,D$92-SUM(E$99:E122))</f>
        <v>2132864.0399999991</v>
      </c>
      <c r="E123" s="482">
        <f t="shared" si="42"/>
        <v>133139</v>
      </c>
      <c r="F123" s="483">
        <f t="shared" si="43"/>
        <v>1999725.0399999991</v>
      </c>
      <c r="G123" s="483">
        <f t="shared" si="44"/>
        <v>2066294.5399999991</v>
      </c>
      <c r="H123" s="484">
        <f t="shared" si="45"/>
        <v>369165.73604878242</v>
      </c>
      <c r="I123" s="540">
        <f t="shared" si="46"/>
        <v>369165.73604878242</v>
      </c>
      <c r="J123" s="476">
        <f t="shared" si="28"/>
        <v>0</v>
      </c>
      <c r="K123" s="476"/>
      <c r="L123" s="485"/>
      <c r="M123" s="476">
        <f t="shared" si="47"/>
        <v>0</v>
      </c>
      <c r="N123" s="485"/>
      <c r="O123" s="476">
        <f t="shared" si="29"/>
        <v>0</v>
      </c>
      <c r="P123" s="476">
        <f t="shared" si="30"/>
        <v>0</v>
      </c>
    </row>
    <row r="124" spans="2:16" ht="12.5">
      <c r="B124" s="160" t="str">
        <f t="shared" si="27"/>
        <v/>
      </c>
      <c r="C124" s="470">
        <f>IF(D93="","-",+C123+1)</f>
        <v>2039</v>
      </c>
      <c r="D124" s="345">
        <f>IF(F123+SUM(E$99:E123)=D$92,F123,D$92-SUM(E$99:E123))</f>
        <v>1999725.0399999991</v>
      </c>
      <c r="E124" s="482">
        <f t="shared" si="42"/>
        <v>133139</v>
      </c>
      <c r="F124" s="483">
        <f t="shared" si="43"/>
        <v>1866586.0399999991</v>
      </c>
      <c r="G124" s="483">
        <f t="shared" si="44"/>
        <v>1933155.5399999991</v>
      </c>
      <c r="H124" s="484">
        <f t="shared" si="45"/>
        <v>353957.66043203184</v>
      </c>
      <c r="I124" s="540">
        <f t="shared" si="46"/>
        <v>353957.66043203184</v>
      </c>
      <c r="J124" s="476">
        <f t="shared" si="28"/>
        <v>0</v>
      </c>
      <c r="K124" s="476"/>
      <c r="L124" s="485"/>
      <c r="M124" s="476">
        <f t="shared" si="47"/>
        <v>0</v>
      </c>
      <c r="N124" s="485"/>
      <c r="O124" s="476">
        <f t="shared" si="29"/>
        <v>0</v>
      </c>
      <c r="P124" s="476">
        <f t="shared" si="30"/>
        <v>0</v>
      </c>
    </row>
    <row r="125" spans="2:16" ht="12.5">
      <c r="B125" s="160" t="str">
        <f t="shared" si="27"/>
        <v/>
      </c>
      <c r="C125" s="470">
        <f>IF(D93="","-",+C124+1)</f>
        <v>2040</v>
      </c>
      <c r="D125" s="345">
        <f>IF(F124+SUM(E$99:E124)=D$92,F124,D$92-SUM(E$99:E124))</f>
        <v>1866586.0399999991</v>
      </c>
      <c r="E125" s="482">
        <f t="shared" si="42"/>
        <v>133139</v>
      </c>
      <c r="F125" s="483">
        <f t="shared" si="43"/>
        <v>1733447.0399999991</v>
      </c>
      <c r="G125" s="483">
        <f t="shared" si="44"/>
        <v>1800016.5399999991</v>
      </c>
      <c r="H125" s="484">
        <f t="shared" si="45"/>
        <v>338749.58481528121</v>
      </c>
      <c r="I125" s="540">
        <f t="shared" si="46"/>
        <v>338749.58481528121</v>
      </c>
      <c r="J125" s="476">
        <f t="shared" si="28"/>
        <v>0</v>
      </c>
      <c r="K125" s="476"/>
      <c r="L125" s="485"/>
      <c r="M125" s="476">
        <f t="shared" si="47"/>
        <v>0</v>
      </c>
      <c r="N125" s="485"/>
      <c r="O125" s="476">
        <f t="shared" si="29"/>
        <v>0</v>
      </c>
      <c r="P125" s="476">
        <f t="shared" si="30"/>
        <v>0</v>
      </c>
    </row>
    <row r="126" spans="2:16" ht="12.5">
      <c r="B126" s="160" t="str">
        <f t="shared" si="27"/>
        <v/>
      </c>
      <c r="C126" s="470">
        <f>IF(D93="","-",+C125+1)</f>
        <v>2041</v>
      </c>
      <c r="D126" s="345">
        <f>IF(F125+SUM(E$99:E125)=D$92,F125,D$92-SUM(E$99:E125))</f>
        <v>1733447.0399999991</v>
      </c>
      <c r="E126" s="482">
        <f t="shared" si="42"/>
        <v>133139</v>
      </c>
      <c r="F126" s="483">
        <f t="shared" si="43"/>
        <v>1600308.0399999991</v>
      </c>
      <c r="G126" s="483">
        <f t="shared" si="44"/>
        <v>1666877.5399999991</v>
      </c>
      <c r="H126" s="484">
        <f t="shared" si="45"/>
        <v>323541.50919853069</v>
      </c>
      <c r="I126" s="540">
        <f t="shared" si="46"/>
        <v>323541.50919853069</v>
      </c>
      <c r="J126" s="476">
        <f t="shared" si="28"/>
        <v>0</v>
      </c>
      <c r="K126" s="476"/>
      <c r="L126" s="485"/>
      <c r="M126" s="476">
        <f t="shared" si="47"/>
        <v>0</v>
      </c>
      <c r="N126" s="485"/>
      <c r="O126" s="476">
        <f t="shared" si="29"/>
        <v>0</v>
      </c>
      <c r="P126" s="476">
        <f t="shared" si="30"/>
        <v>0</v>
      </c>
    </row>
    <row r="127" spans="2:16" ht="12.5">
      <c r="B127" s="160" t="str">
        <f t="shared" si="27"/>
        <v/>
      </c>
      <c r="C127" s="470">
        <f>IF(D93="","-",+C126+1)</f>
        <v>2042</v>
      </c>
      <c r="D127" s="345">
        <f>IF(F126+SUM(E$99:E126)=D$92,F126,D$92-SUM(E$99:E126))</f>
        <v>1600308.0399999991</v>
      </c>
      <c r="E127" s="482">
        <f t="shared" si="42"/>
        <v>133139</v>
      </c>
      <c r="F127" s="483">
        <f t="shared" si="43"/>
        <v>1467169.0399999991</v>
      </c>
      <c r="G127" s="483">
        <f t="shared" si="44"/>
        <v>1533738.5399999991</v>
      </c>
      <c r="H127" s="484">
        <f t="shared" si="45"/>
        <v>308333.43358178006</v>
      </c>
      <c r="I127" s="540">
        <f t="shared" si="46"/>
        <v>308333.43358178006</v>
      </c>
      <c r="J127" s="476">
        <f t="shared" si="28"/>
        <v>0</v>
      </c>
      <c r="K127" s="476"/>
      <c r="L127" s="485"/>
      <c r="M127" s="476">
        <f t="shared" si="47"/>
        <v>0</v>
      </c>
      <c r="N127" s="485"/>
      <c r="O127" s="476">
        <f t="shared" si="29"/>
        <v>0</v>
      </c>
      <c r="P127" s="476">
        <f t="shared" si="30"/>
        <v>0</v>
      </c>
    </row>
    <row r="128" spans="2:16" ht="12.5">
      <c r="B128" s="160" t="str">
        <f t="shared" si="27"/>
        <v/>
      </c>
      <c r="C128" s="470">
        <f>IF(D93="","-",+C127+1)</f>
        <v>2043</v>
      </c>
      <c r="D128" s="345">
        <f>IF(F127+SUM(E$99:E127)=D$92,F127,D$92-SUM(E$99:E127))</f>
        <v>1467169.0399999991</v>
      </c>
      <c r="E128" s="482">
        <f t="shared" si="42"/>
        <v>133139</v>
      </c>
      <c r="F128" s="483">
        <f t="shared" si="43"/>
        <v>1334030.0399999991</v>
      </c>
      <c r="G128" s="483">
        <f t="shared" si="44"/>
        <v>1400599.5399999991</v>
      </c>
      <c r="H128" s="484">
        <f t="shared" si="45"/>
        <v>293125.35796502954</v>
      </c>
      <c r="I128" s="540">
        <f t="shared" si="46"/>
        <v>293125.35796502954</v>
      </c>
      <c r="J128" s="476">
        <f t="shared" si="28"/>
        <v>0</v>
      </c>
      <c r="K128" s="476"/>
      <c r="L128" s="485"/>
      <c r="M128" s="476">
        <f t="shared" si="47"/>
        <v>0</v>
      </c>
      <c r="N128" s="485"/>
      <c r="O128" s="476">
        <f t="shared" si="29"/>
        <v>0</v>
      </c>
      <c r="P128" s="476">
        <f t="shared" si="30"/>
        <v>0</v>
      </c>
    </row>
    <row r="129" spans="2:16" ht="12.5">
      <c r="B129" s="160" t="str">
        <f t="shared" si="27"/>
        <v/>
      </c>
      <c r="C129" s="470">
        <f>IF(D93="","-",+C128+1)</f>
        <v>2044</v>
      </c>
      <c r="D129" s="345">
        <f>IF(F128+SUM(E$99:E128)=D$92,F128,D$92-SUM(E$99:E128))</f>
        <v>1334030.0399999991</v>
      </c>
      <c r="E129" s="482">
        <f t="shared" si="42"/>
        <v>133139</v>
      </c>
      <c r="F129" s="483">
        <f t="shared" si="43"/>
        <v>1200891.0399999991</v>
      </c>
      <c r="G129" s="483">
        <f t="shared" si="44"/>
        <v>1267460.5399999991</v>
      </c>
      <c r="H129" s="484">
        <f t="shared" si="45"/>
        <v>277917.28234827891</v>
      </c>
      <c r="I129" s="540">
        <f t="shared" si="46"/>
        <v>277917.28234827891</v>
      </c>
      <c r="J129" s="476">
        <f t="shared" si="28"/>
        <v>0</v>
      </c>
      <c r="K129" s="476"/>
      <c r="L129" s="485"/>
      <c r="M129" s="476">
        <f t="shared" si="47"/>
        <v>0</v>
      </c>
      <c r="N129" s="485"/>
      <c r="O129" s="476">
        <f t="shared" si="29"/>
        <v>0</v>
      </c>
      <c r="P129" s="476">
        <f t="shared" si="30"/>
        <v>0</v>
      </c>
    </row>
    <row r="130" spans="2:16" ht="12.5">
      <c r="B130" s="160" t="str">
        <f t="shared" si="27"/>
        <v/>
      </c>
      <c r="C130" s="470">
        <f>IF(D93="","-",+C129+1)</f>
        <v>2045</v>
      </c>
      <c r="D130" s="345">
        <f>IF(F129+SUM(E$99:E129)=D$92,F129,D$92-SUM(E$99:E129))</f>
        <v>1200891.0399999991</v>
      </c>
      <c r="E130" s="482">
        <f t="shared" si="42"/>
        <v>133139</v>
      </c>
      <c r="F130" s="483">
        <f t="shared" si="43"/>
        <v>1067752.0399999991</v>
      </c>
      <c r="G130" s="483">
        <f t="shared" si="44"/>
        <v>1134321.5399999991</v>
      </c>
      <c r="H130" s="484">
        <f t="shared" si="45"/>
        <v>262709.20673152833</v>
      </c>
      <c r="I130" s="540">
        <f t="shared" si="46"/>
        <v>262709.20673152833</v>
      </c>
      <c r="J130" s="476">
        <f t="shared" si="28"/>
        <v>0</v>
      </c>
      <c r="K130" s="476"/>
      <c r="L130" s="485"/>
      <c r="M130" s="476">
        <f t="shared" si="47"/>
        <v>0</v>
      </c>
      <c r="N130" s="485"/>
      <c r="O130" s="476">
        <f t="shared" si="29"/>
        <v>0</v>
      </c>
      <c r="P130" s="476">
        <f t="shared" si="30"/>
        <v>0</v>
      </c>
    </row>
    <row r="131" spans="2:16" ht="12.5">
      <c r="B131" s="160" t="str">
        <f t="shared" si="27"/>
        <v/>
      </c>
      <c r="C131" s="470">
        <f>IF(D93="","-",+C130+1)</f>
        <v>2046</v>
      </c>
      <c r="D131" s="345">
        <f>IF(F130+SUM(E$99:E130)=D$92,F130,D$92-SUM(E$99:E130))</f>
        <v>1067752.0399999991</v>
      </c>
      <c r="E131" s="482">
        <f t="shared" si="42"/>
        <v>133139</v>
      </c>
      <c r="F131" s="483">
        <f t="shared" si="43"/>
        <v>934613.03999999911</v>
      </c>
      <c r="G131" s="483">
        <f t="shared" si="44"/>
        <v>1001182.5399999991</v>
      </c>
      <c r="H131" s="484">
        <f t="shared" si="45"/>
        <v>247501.13111477776</v>
      </c>
      <c r="I131" s="540">
        <f t="shared" si="46"/>
        <v>247501.13111477776</v>
      </c>
      <c r="J131" s="476">
        <f t="shared" si="28"/>
        <v>0</v>
      </c>
      <c r="K131" s="476"/>
      <c r="L131" s="485"/>
      <c r="M131" s="476">
        <f t="shared" ref="M131:M154" si="48">IF(L541&lt;&gt;0,+H541-L541,0)</f>
        <v>0</v>
      </c>
      <c r="N131" s="485"/>
      <c r="O131" s="476">
        <f t="shared" ref="O131:O154" si="49">IF(N541&lt;&gt;0,+I541-N541,0)</f>
        <v>0</v>
      </c>
      <c r="P131" s="476">
        <f t="shared" ref="P131:P154" si="50">+O541-M541</f>
        <v>0</v>
      </c>
    </row>
    <row r="132" spans="2:16" ht="12.5">
      <c r="B132" s="160" t="str">
        <f t="shared" si="27"/>
        <v/>
      </c>
      <c r="C132" s="470">
        <f>IF(D93="","-",+C131+1)</f>
        <v>2047</v>
      </c>
      <c r="D132" s="345">
        <f>IF(F131+SUM(E$99:E131)=D$92,F131,D$92-SUM(E$99:E131))</f>
        <v>934613.03999999911</v>
      </c>
      <c r="E132" s="482">
        <f t="shared" si="42"/>
        <v>133139</v>
      </c>
      <c r="F132" s="483">
        <f t="shared" si="43"/>
        <v>801474.03999999911</v>
      </c>
      <c r="G132" s="483">
        <f t="shared" si="44"/>
        <v>868043.53999999911</v>
      </c>
      <c r="H132" s="484">
        <f t="shared" si="45"/>
        <v>232293.05549802718</v>
      </c>
      <c r="I132" s="540">
        <f t="shared" si="46"/>
        <v>232293.05549802718</v>
      </c>
      <c r="J132" s="476">
        <f t="shared" si="28"/>
        <v>0</v>
      </c>
      <c r="K132" s="476"/>
      <c r="L132" s="485"/>
      <c r="M132" s="476">
        <f t="shared" si="48"/>
        <v>0</v>
      </c>
      <c r="N132" s="485"/>
      <c r="O132" s="476">
        <f t="shared" si="49"/>
        <v>0</v>
      </c>
      <c r="P132" s="476">
        <f t="shared" si="50"/>
        <v>0</v>
      </c>
    </row>
    <row r="133" spans="2:16" ht="12.5">
      <c r="B133" s="160" t="str">
        <f t="shared" si="27"/>
        <v/>
      </c>
      <c r="C133" s="470">
        <f>IF(D93="","-",+C132+1)</f>
        <v>2048</v>
      </c>
      <c r="D133" s="345">
        <f>IF(F132+SUM(E$99:E132)=D$92,F132,D$92-SUM(E$99:E132))</f>
        <v>801474.03999999911</v>
      </c>
      <c r="E133" s="482">
        <f t="shared" si="42"/>
        <v>133139</v>
      </c>
      <c r="F133" s="483">
        <f t="shared" si="43"/>
        <v>668335.03999999911</v>
      </c>
      <c r="G133" s="483">
        <f t="shared" si="44"/>
        <v>734904.53999999911</v>
      </c>
      <c r="H133" s="484">
        <f t="shared" si="45"/>
        <v>217084.97988127661</v>
      </c>
      <c r="I133" s="540">
        <f t="shared" si="46"/>
        <v>217084.97988127661</v>
      </c>
      <c r="J133" s="476">
        <f t="shared" si="28"/>
        <v>0</v>
      </c>
      <c r="K133" s="476"/>
      <c r="L133" s="485"/>
      <c r="M133" s="476">
        <f t="shared" si="48"/>
        <v>0</v>
      </c>
      <c r="N133" s="485"/>
      <c r="O133" s="476">
        <f t="shared" si="49"/>
        <v>0</v>
      </c>
      <c r="P133" s="476">
        <f t="shared" si="50"/>
        <v>0</v>
      </c>
    </row>
    <row r="134" spans="2:16" ht="12.5">
      <c r="B134" s="160" t="str">
        <f t="shared" si="27"/>
        <v/>
      </c>
      <c r="C134" s="470">
        <f>IF(D93="","-",+C133+1)</f>
        <v>2049</v>
      </c>
      <c r="D134" s="345">
        <f>IF(F133+SUM(E$99:E133)=D$92,F133,D$92-SUM(E$99:E133))</f>
        <v>668335.03999999911</v>
      </c>
      <c r="E134" s="482">
        <f t="shared" si="42"/>
        <v>133139</v>
      </c>
      <c r="F134" s="483">
        <f t="shared" si="43"/>
        <v>535196.03999999911</v>
      </c>
      <c r="G134" s="483">
        <f t="shared" si="44"/>
        <v>601765.53999999911</v>
      </c>
      <c r="H134" s="484">
        <f t="shared" si="45"/>
        <v>201876.90426452603</v>
      </c>
      <c r="I134" s="540">
        <f t="shared" si="46"/>
        <v>201876.90426452603</v>
      </c>
      <c r="J134" s="476">
        <f t="shared" si="28"/>
        <v>0</v>
      </c>
      <c r="K134" s="476"/>
      <c r="L134" s="485"/>
      <c r="M134" s="476">
        <f t="shared" si="48"/>
        <v>0</v>
      </c>
      <c r="N134" s="485"/>
      <c r="O134" s="476">
        <f t="shared" si="49"/>
        <v>0</v>
      </c>
      <c r="P134" s="476">
        <f t="shared" si="50"/>
        <v>0</v>
      </c>
    </row>
    <row r="135" spans="2:16" ht="12.5">
      <c r="B135" s="160" t="str">
        <f t="shared" si="27"/>
        <v/>
      </c>
      <c r="C135" s="470">
        <f>IF(D93="","-",+C134+1)</f>
        <v>2050</v>
      </c>
      <c r="D135" s="345">
        <f>IF(F134+SUM(E$99:E134)=D$92,F134,D$92-SUM(E$99:E134))</f>
        <v>535196.03999999911</v>
      </c>
      <c r="E135" s="482">
        <f t="shared" si="42"/>
        <v>133139</v>
      </c>
      <c r="F135" s="483">
        <f t="shared" si="43"/>
        <v>402057.03999999911</v>
      </c>
      <c r="G135" s="483">
        <f t="shared" si="44"/>
        <v>468626.53999999911</v>
      </c>
      <c r="H135" s="484">
        <f t="shared" si="45"/>
        <v>186668.82864777546</v>
      </c>
      <c r="I135" s="540">
        <f t="shared" si="46"/>
        <v>186668.82864777546</v>
      </c>
      <c r="J135" s="476">
        <f t="shared" si="28"/>
        <v>0</v>
      </c>
      <c r="K135" s="476"/>
      <c r="L135" s="485"/>
      <c r="M135" s="476">
        <f t="shared" si="48"/>
        <v>0</v>
      </c>
      <c r="N135" s="485"/>
      <c r="O135" s="476">
        <f t="shared" si="49"/>
        <v>0</v>
      </c>
      <c r="P135" s="476">
        <f t="shared" si="50"/>
        <v>0</v>
      </c>
    </row>
    <row r="136" spans="2:16" ht="12.5">
      <c r="B136" s="160" t="str">
        <f t="shared" si="27"/>
        <v/>
      </c>
      <c r="C136" s="470">
        <f>IF(D93="","-",+C135+1)</f>
        <v>2051</v>
      </c>
      <c r="D136" s="345">
        <f>IF(F135+SUM(E$99:E135)=D$92,F135,D$92-SUM(E$99:E135))</f>
        <v>402057.03999999911</v>
      </c>
      <c r="E136" s="482">
        <f t="shared" si="42"/>
        <v>133139</v>
      </c>
      <c r="F136" s="483">
        <f t="shared" si="43"/>
        <v>268918.03999999911</v>
      </c>
      <c r="G136" s="483">
        <f t="shared" si="44"/>
        <v>335487.53999999911</v>
      </c>
      <c r="H136" s="484">
        <f t="shared" si="45"/>
        <v>171460.75303102488</v>
      </c>
      <c r="I136" s="540">
        <f t="shared" si="46"/>
        <v>171460.75303102488</v>
      </c>
      <c r="J136" s="476">
        <f t="shared" si="28"/>
        <v>0</v>
      </c>
      <c r="K136" s="476"/>
      <c r="L136" s="485"/>
      <c r="M136" s="476">
        <f t="shared" si="48"/>
        <v>0</v>
      </c>
      <c r="N136" s="485"/>
      <c r="O136" s="476">
        <f t="shared" si="49"/>
        <v>0</v>
      </c>
      <c r="P136" s="476">
        <f t="shared" si="50"/>
        <v>0</v>
      </c>
    </row>
    <row r="137" spans="2:16" ht="12.5">
      <c r="B137" s="160" t="str">
        <f t="shared" si="27"/>
        <v/>
      </c>
      <c r="C137" s="470">
        <f>IF(D93="","-",+C136+1)</f>
        <v>2052</v>
      </c>
      <c r="D137" s="345">
        <f>IF(F136+SUM(E$99:E136)=D$92,F136,D$92-SUM(E$99:E136))</f>
        <v>268918.03999999911</v>
      </c>
      <c r="E137" s="482">
        <f t="shared" si="42"/>
        <v>133139</v>
      </c>
      <c r="F137" s="483">
        <f t="shared" si="43"/>
        <v>135779.03999999911</v>
      </c>
      <c r="G137" s="483">
        <f t="shared" si="44"/>
        <v>202348.53999999911</v>
      </c>
      <c r="H137" s="484">
        <f t="shared" si="45"/>
        <v>156252.67741427431</v>
      </c>
      <c r="I137" s="540">
        <f t="shared" si="46"/>
        <v>156252.67741427431</v>
      </c>
      <c r="J137" s="476">
        <f t="shared" si="28"/>
        <v>0</v>
      </c>
      <c r="K137" s="476"/>
      <c r="L137" s="485"/>
      <c r="M137" s="476">
        <f t="shared" si="48"/>
        <v>0</v>
      </c>
      <c r="N137" s="485"/>
      <c r="O137" s="476">
        <f t="shared" si="49"/>
        <v>0</v>
      </c>
      <c r="P137" s="476">
        <f t="shared" si="50"/>
        <v>0</v>
      </c>
    </row>
    <row r="138" spans="2:16" ht="12.5">
      <c r="B138" s="160" t="str">
        <f t="shared" si="27"/>
        <v/>
      </c>
      <c r="C138" s="470">
        <f>IF(D93="","-",+C137+1)</f>
        <v>2053</v>
      </c>
      <c r="D138" s="345">
        <f>IF(F137+SUM(E$99:E137)=D$92,F137,D$92-SUM(E$99:E137))</f>
        <v>135779.03999999911</v>
      </c>
      <c r="E138" s="482">
        <f t="shared" si="42"/>
        <v>133139</v>
      </c>
      <c r="F138" s="483">
        <f t="shared" si="43"/>
        <v>2640.0399999991059</v>
      </c>
      <c r="G138" s="483">
        <f t="shared" si="44"/>
        <v>69209.539999999106</v>
      </c>
      <c r="H138" s="484">
        <f t="shared" si="45"/>
        <v>141044.6017975237</v>
      </c>
      <c r="I138" s="540">
        <f t="shared" si="46"/>
        <v>141044.6017975237</v>
      </c>
      <c r="J138" s="476">
        <f t="shared" si="28"/>
        <v>0</v>
      </c>
      <c r="K138" s="476"/>
      <c r="L138" s="485"/>
      <c r="M138" s="476">
        <f t="shared" si="48"/>
        <v>0</v>
      </c>
      <c r="N138" s="485"/>
      <c r="O138" s="476">
        <f t="shared" si="49"/>
        <v>0</v>
      </c>
      <c r="P138" s="476">
        <f t="shared" si="50"/>
        <v>0</v>
      </c>
    </row>
    <row r="139" spans="2:16" ht="12.5">
      <c r="B139" s="160" t="str">
        <f t="shared" si="27"/>
        <v/>
      </c>
      <c r="C139" s="470">
        <f>IF(D93="","-",+C138+1)</f>
        <v>2054</v>
      </c>
      <c r="D139" s="345">
        <f>IF(F138+SUM(E$99:E138)=D$92,F138,D$92-SUM(E$99:E138))</f>
        <v>2640.0399999991059</v>
      </c>
      <c r="E139" s="482">
        <f t="shared" si="42"/>
        <v>2640.0399999991059</v>
      </c>
      <c r="F139" s="483">
        <f t="shared" si="43"/>
        <v>0</v>
      </c>
      <c r="G139" s="483">
        <f t="shared" si="44"/>
        <v>1320.019999999553</v>
      </c>
      <c r="H139" s="484">
        <f t="shared" si="45"/>
        <v>2790.8219945733199</v>
      </c>
      <c r="I139" s="540">
        <f t="shared" si="46"/>
        <v>2790.8219945733199</v>
      </c>
      <c r="J139" s="476">
        <f t="shared" si="28"/>
        <v>0</v>
      </c>
      <c r="K139" s="476"/>
      <c r="L139" s="485"/>
      <c r="M139" s="476">
        <f t="shared" si="48"/>
        <v>0</v>
      </c>
      <c r="N139" s="485"/>
      <c r="O139" s="476">
        <f t="shared" si="49"/>
        <v>0</v>
      </c>
      <c r="P139" s="476">
        <f t="shared" si="50"/>
        <v>0</v>
      </c>
    </row>
    <row r="140" spans="2:16" ht="12.5">
      <c r="B140" s="160" t="str">
        <f t="shared" si="27"/>
        <v/>
      </c>
      <c r="C140" s="470">
        <f>IF(D93="","-",+C139+1)</f>
        <v>2055</v>
      </c>
      <c r="D140" s="345">
        <f>IF(F139+SUM(E$99:E139)=D$92,F139,D$92-SUM(E$99:E139))</f>
        <v>0</v>
      </c>
      <c r="E140" s="482">
        <f t="shared" si="42"/>
        <v>0</v>
      </c>
      <c r="F140" s="483">
        <f t="shared" si="43"/>
        <v>0</v>
      </c>
      <c r="G140" s="483">
        <f t="shared" si="44"/>
        <v>0</v>
      </c>
      <c r="H140" s="484">
        <f t="shared" si="45"/>
        <v>0</v>
      </c>
      <c r="I140" s="540">
        <f t="shared" si="46"/>
        <v>0</v>
      </c>
      <c r="J140" s="476">
        <f t="shared" si="28"/>
        <v>0</v>
      </c>
      <c r="K140" s="476"/>
      <c r="L140" s="485"/>
      <c r="M140" s="476">
        <f t="shared" si="48"/>
        <v>0</v>
      </c>
      <c r="N140" s="485"/>
      <c r="O140" s="476">
        <f t="shared" si="49"/>
        <v>0</v>
      </c>
      <c r="P140" s="476">
        <f t="shared" si="50"/>
        <v>0</v>
      </c>
    </row>
    <row r="141" spans="2:16" ht="12.5">
      <c r="B141" s="160" t="str">
        <f t="shared" si="27"/>
        <v/>
      </c>
      <c r="C141" s="470">
        <f>IF(D93="","-",+C140+1)</f>
        <v>2056</v>
      </c>
      <c r="D141" s="345">
        <f>IF(F140+SUM(E$99:E140)=D$92,F140,D$92-SUM(E$99:E140))</f>
        <v>0</v>
      </c>
      <c r="E141" s="482">
        <f t="shared" si="42"/>
        <v>0</v>
      </c>
      <c r="F141" s="483">
        <f t="shared" si="43"/>
        <v>0</v>
      </c>
      <c r="G141" s="483">
        <f t="shared" si="44"/>
        <v>0</v>
      </c>
      <c r="H141" s="484">
        <f t="shared" si="45"/>
        <v>0</v>
      </c>
      <c r="I141" s="540">
        <f t="shared" si="46"/>
        <v>0</v>
      </c>
      <c r="J141" s="476">
        <f t="shared" si="28"/>
        <v>0</v>
      </c>
      <c r="K141" s="476"/>
      <c r="L141" s="485"/>
      <c r="M141" s="476">
        <f t="shared" si="48"/>
        <v>0</v>
      </c>
      <c r="N141" s="485"/>
      <c r="O141" s="476">
        <f t="shared" si="49"/>
        <v>0</v>
      </c>
      <c r="P141" s="476">
        <f t="shared" si="50"/>
        <v>0</v>
      </c>
    </row>
    <row r="142" spans="2:16" ht="12.5">
      <c r="B142" s="160" t="str">
        <f t="shared" si="27"/>
        <v/>
      </c>
      <c r="C142" s="470">
        <f>IF(D93="","-",+C141+1)</f>
        <v>2057</v>
      </c>
      <c r="D142" s="345">
        <f>IF(F141+SUM(E$99:E141)=D$92,F141,D$92-SUM(E$99:E141))</f>
        <v>0</v>
      </c>
      <c r="E142" s="482">
        <f t="shared" si="42"/>
        <v>0</v>
      </c>
      <c r="F142" s="483">
        <f t="shared" si="43"/>
        <v>0</v>
      </c>
      <c r="G142" s="483">
        <f t="shared" si="44"/>
        <v>0</v>
      </c>
      <c r="H142" s="484">
        <f t="shared" si="45"/>
        <v>0</v>
      </c>
      <c r="I142" s="540">
        <f t="shared" si="46"/>
        <v>0</v>
      </c>
      <c r="J142" s="476">
        <f t="shared" si="28"/>
        <v>0</v>
      </c>
      <c r="K142" s="476"/>
      <c r="L142" s="485"/>
      <c r="M142" s="476">
        <f t="shared" si="48"/>
        <v>0</v>
      </c>
      <c r="N142" s="485"/>
      <c r="O142" s="476">
        <f t="shared" si="49"/>
        <v>0</v>
      </c>
      <c r="P142" s="476">
        <f t="shared" si="50"/>
        <v>0</v>
      </c>
    </row>
    <row r="143" spans="2:16" ht="12.5">
      <c r="B143" s="160" t="str">
        <f t="shared" si="27"/>
        <v/>
      </c>
      <c r="C143" s="470">
        <f>IF(D93="","-",+C142+1)</f>
        <v>2058</v>
      </c>
      <c r="D143" s="345">
        <f>IF(F142+SUM(E$99:E142)=D$92,F142,D$92-SUM(E$99:E142))</f>
        <v>0</v>
      </c>
      <c r="E143" s="482">
        <f t="shared" si="42"/>
        <v>0</v>
      </c>
      <c r="F143" s="483">
        <f t="shared" si="43"/>
        <v>0</v>
      </c>
      <c r="G143" s="483">
        <f t="shared" si="44"/>
        <v>0</v>
      </c>
      <c r="H143" s="484">
        <f t="shared" si="45"/>
        <v>0</v>
      </c>
      <c r="I143" s="540">
        <f t="shared" si="46"/>
        <v>0</v>
      </c>
      <c r="J143" s="476">
        <f t="shared" si="28"/>
        <v>0</v>
      </c>
      <c r="K143" s="476"/>
      <c r="L143" s="485"/>
      <c r="M143" s="476">
        <f t="shared" si="48"/>
        <v>0</v>
      </c>
      <c r="N143" s="485"/>
      <c r="O143" s="476">
        <f t="shared" si="49"/>
        <v>0</v>
      </c>
      <c r="P143" s="476">
        <f t="shared" si="50"/>
        <v>0</v>
      </c>
    </row>
    <row r="144" spans="2:16" ht="12.5">
      <c r="B144" s="160" t="str">
        <f t="shared" si="27"/>
        <v/>
      </c>
      <c r="C144" s="470">
        <f>IF(D93="","-",+C143+1)</f>
        <v>2059</v>
      </c>
      <c r="D144" s="345">
        <f>IF(F143+SUM(E$99:E143)=D$92,F143,D$92-SUM(E$99:E143))</f>
        <v>0</v>
      </c>
      <c r="E144" s="482">
        <f t="shared" si="42"/>
        <v>0</v>
      </c>
      <c r="F144" s="483">
        <f t="shared" si="43"/>
        <v>0</v>
      </c>
      <c r="G144" s="483">
        <f t="shared" si="44"/>
        <v>0</v>
      </c>
      <c r="H144" s="484">
        <f t="shared" si="45"/>
        <v>0</v>
      </c>
      <c r="I144" s="540">
        <f t="shared" si="46"/>
        <v>0</v>
      </c>
      <c r="J144" s="476">
        <f t="shared" si="28"/>
        <v>0</v>
      </c>
      <c r="K144" s="476"/>
      <c r="L144" s="485"/>
      <c r="M144" s="476">
        <f t="shared" si="48"/>
        <v>0</v>
      </c>
      <c r="N144" s="485"/>
      <c r="O144" s="476">
        <f t="shared" si="49"/>
        <v>0</v>
      </c>
      <c r="P144" s="476">
        <f t="shared" si="50"/>
        <v>0</v>
      </c>
    </row>
    <row r="145" spans="2:16" ht="12.5">
      <c r="B145" s="160" t="str">
        <f t="shared" si="27"/>
        <v/>
      </c>
      <c r="C145" s="470">
        <f>IF(D93="","-",+C144+1)</f>
        <v>2060</v>
      </c>
      <c r="D145" s="345">
        <f>IF(F144+SUM(E$99:E144)=D$92,F144,D$92-SUM(E$99:E144))</f>
        <v>0</v>
      </c>
      <c r="E145" s="482">
        <f t="shared" si="42"/>
        <v>0</v>
      </c>
      <c r="F145" s="483">
        <f t="shared" si="43"/>
        <v>0</v>
      </c>
      <c r="G145" s="483">
        <f t="shared" si="44"/>
        <v>0</v>
      </c>
      <c r="H145" s="484">
        <f t="shared" si="45"/>
        <v>0</v>
      </c>
      <c r="I145" s="540">
        <f t="shared" si="46"/>
        <v>0</v>
      </c>
      <c r="J145" s="476">
        <f t="shared" si="28"/>
        <v>0</v>
      </c>
      <c r="K145" s="476"/>
      <c r="L145" s="485"/>
      <c r="M145" s="476">
        <f t="shared" si="48"/>
        <v>0</v>
      </c>
      <c r="N145" s="485"/>
      <c r="O145" s="476">
        <f t="shared" si="49"/>
        <v>0</v>
      </c>
      <c r="P145" s="476">
        <f t="shared" si="50"/>
        <v>0</v>
      </c>
    </row>
    <row r="146" spans="2:16" ht="12.5">
      <c r="B146" s="160" t="str">
        <f t="shared" si="27"/>
        <v/>
      </c>
      <c r="C146" s="470">
        <f>IF(D93="","-",+C145+1)</f>
        <v>2061</v>
      </c>
      <c r="D146" s="345">
        <f>IF(F145+SUM(E$99:E145)=D$92,F145,D$92-SUM(E$99:E145))</f>
        <v>0</v>
      </c>
      <c r="E146" s="482">
        <f t="shared" si="42"/>
        <v>0</v>
      </c>
      <c r="F146" s="483">
        <f t="shared" si="43"/>
        <v>0</v>
      </c>
      <c r="G146" s="483">
        <f t="shared" si="44"/>
        <v>0</v>
      </c>
      <c r="H146" s="484">
        <f t="shared" si="45"/>
        <v>0</v>
      </c>
      <c r="I146" s="540">
        <f t="shared" si="46"/>
        <v>0</v>
      </c>
      <c r="J146" s="476">
        <f t="shared" si="28"/>
        <v>0</v>
      </c>
      <c r="K146" s="476"/>
      <c r="L146" s="485"/>
      <c r="M146" s="476">
        <f t="shared" si="48"/>
        <v>0</v>
      </c>
      <c r="N146" s="485"/>
      <c r="O146" s="476">
        <f t="shared" si="49"/>
        <v>0</v>
      </c>
      <c r="P146" s="476">
        <f t="shared" si="50"/>
        <v>0</v>
      </c>
    </row>
    <row r="147" spans="2:16" ht="12.5">
      <c r="B147" s="160" t="str">
        <f t="shared" si="27"/>
        <v/>
      </c>
      <c r="C147" s="470">
        <f>IF(D93="","-",+C146+1)</f>
        <v>2062</v>
      </c>
      <c r="D147" s="345">
        <f>IF(F146+SUM(E$99:E146)=D$92,F146,D$92-SUM(E$99:E146))</f>
        <v>0</v>
      </c>
      <c r="E147" s="482">
        <f t="shared" si="42"/>
        <v>0</v>
      </c>
      <c r="F147" s="483">
        <f t="shared" si="43"/>
        <v>0</v>
      </c>
      <c r="G147" s="483">
        <f t="shared" si="44"/>
        <v>0</v>
      </c>
      <c r="H147" s="484">
        <f t="shared" si="45"/>
        <v>0</v>
      </c>
      <c r="I147" s="540">
        <f t="shared" si="46"/>
        <v>0</v>
      </c>
      <c r="J147" s="476">
        <f t="shared" si="28"/>
        <v>0</v>
      </c>
      <c r="K147" s="476"/>
      <c r="L147" s="485"/>
      <c r="M147" s="476">
        <f t="shared" si="48"/>
        <v>0</v>
      </c>
      <c r="N147" s="485"/>
      <c r="O147" s="476">
        <f t="shared" si="49"/>
        <v>0</v>
      </c>
      <c r="P147" s="476">
        <f t="shared" si="50"/>
        <v>0</v>
      </c>
    </row>
    <row r="148" spans="2:16" ht="12.5">
      <c r="B148" s="160" t="str">
        <f t="shared" si="27"/>
        <v/>
      </c>
      <c r="C148" s="470">
        <f>IF(D93="","-",+C147+1)</f>
        <v>2063</v>
      </c>
      <c r="D148" s="345">
        <f>IF(F147+SUM(E$99:E147)=D$92,F147,D$92-SUM(E$99:E147))</f>
        <v>0</v>
      </c>
      <c r="E148" s="482">
        <f t="shared" si="42"/>
        <v>0</v>
      </c>
      <c r="F148" s="483">
        <f t="shared" si="43"/>
        <v>0</v>
      </c>
      <c r="G148" s="483">
        <f t="shared" si="44"/>
        <v>0</v>
      </c>
      <c r="H148" s="484">
        <f t="shared" si="45"/>
        <v>0</v>
      </c>
      <c r="I148" s="540">
        <f t="shared" si="46"/>
        <v>0</v>
      </c>
      <c r="J148" s="476">
        <f t="shared" si="28"/>
        <v>0</v>
      </c>
      <c r="K148" s="476"/>
      <c r="L148" s="485"/>
      <c r="M148" s="476">
        <f t="shared" si="48"/>
        <v>0</v>
      </c>
      <c r="N148" s="485"/>
      <c r="O148" s="476">
        <f t="shared" si="49"/>
        <v>0</v>
      </c>
      <c r="P148" s="476">
        <f t="shared" si="50"/>
        <v>0</v>
      </c>
    </row>
    <row r="149" spans="2:16" ht="12.5">
      <c r="B149" s="160" t="str">
        <f t="shared" si="27"/>
        <v/>
      </c>
      <c r="C149" s="470">
        <f>IF(D93="","-",+C148+1)</f>
        <v>2064</v>
      </c>
      <c r="D149" s="345">
        <f>IF(F148+SUM(E$99:E148)=D$92,F148,D$92-SUM(E$99:E148))</f>
        <v>0</v>
      </c>
      <c r="E149" s="482">
        <f t="shared" si="42"/>
        <v>0</v>
      </c>
      <c r="F149" s="483">
        <f t="shared" si="43"/>
        <v>0</v>
      </c>
      <c r="G149" s="483">
        <f t="shared" si="44"/>
        <v>0</v>
      </c>
      <c r="H149" s="484">
        <f t="shared" si="45"/>
        <v>0</v>
      </c>
      <c r="I149" s="540">
        <f t="shared" si="46"/>
        <v>0</v>
      </c>
      <c r="J149" s="476">
        <f t="shared" si="28"/>
        <v>0</v>
      </c>
      <c r="K149" s="476"/>
      <c r="L149" s="485"/>
      <c r="M149" s="476">
        <f t="shared" si="48"/>
        <v>0</v>
      </c>
      <c r="N149" s="485"/>
      <c r="O149" s="476">
        <f t="shared" si="49"/>
        <v>0</v>
      </c>
      <c r="P149" s="476">
        <f t="shared" si="50"/>
        <v>0</v>
      </c>
    </row>
    <row r="150" spans="2:16" ht="12.5">
      <c r="B150" s="160" t="str">
        <f t="shared" si="27"/>
        <v/>
      </c>
      <c r="C150" s="470">
        <f>IF(D93="","-",+C149+1)</f>
        <v>2065</v>
      </c>
      <c r="D150" s="345">
        <f>IF(F149+SUM(E$99:E149)=D$92,F149,D$92-SUM(E$99:E149))</f>
        <v>0</v>
      </c>
      <c r="E150" s="482">
        <f t="shared" si="42"/>
        <v>0</v>
      </c>
      <c r="F150" s="483">
        <f t="shared" si="43"/>
        <v>0</v>
      </c>
      <c r="G150" s="483">
        <f t="shared" si="44"/>
        <v>0</v>
      </c>
      <c r="H150" s="484">
        <f t="shared" si="45"/>
        <v>0</v>
      </c>
      <c r="I150" s="540">
        <f t="shared" si="46"/>
        <v>0</v>
      </c>
      <c r="J150" s="476">
        <f t="shared" si="28"/>
        <v>0</v>
      </c>
      <c r="K150" s="476"/>
      <c r="L150" s="485"/>
      <c r="M150" s="476">
        <f t="shared" si="48"/>
        <v>0</v>
      </c>
      <c r="N150" s="485"/>
      <c r="O150" s="476">
        <f t="shared" si="49"/>
        <v>0</v>
      </c>
      <c r="P150" s="476">
        <f t="shared" si="50"/>
        <v>0</v>
      </c>
    </row>
    <row r="151" spans="2:16" ht="12.5">
      <c r="B151" s="160" t="str">
        <f t="shared" si="27"/>
        <v/>
      </c>
      <c r="C151" s="470">
        <f>IF(D93="","-",+C150+1)</f>
        <v>2066</v>
      </c>
      <c r="D151" s="345">
        <f>IF(F150+SUM(E$99:E150)=D$92,F150,D$92-SUM(E$99:E150))</f>
        <v>0</v>
      </c>
      <c r="E151" s="482">
        <f t="shared" si="42"/>
        <v>0</v>
      </c>
      <c r="F151" s="483">
        <f t="shared" si="43"/>
        <v>0</v>
      </c>
      <c r="G151" s="483">
        <f t="shared" si="44"/>
        <v>0</v>
      </c>
      <c r="H151" s="484">
        <f t="shared" si="45"/>
        <v>0</v>
      </c>
      <c r="I151" s="540">
        <f t="shared" si="46"/>
        <v>0</v>
      </c>
      <c r="J151" s="476">
        <f t="shared" si="28"/>
        <v>0</v>
      </c>
      <c r="K151" s="476"/>
      <c r="L151" s="485"/>
      <c r="M151" s="476">
        <f t="shared" si="48"/>
        <v>0</v>
      </c>
      <c r="N151" s="485"/>
      <c r="O151" s="476">
        <f t="shared" si="49"/>
        <v>0</v>
      </c>
      <c r="P151" s="476">
        <f t="shared" si="50"/>
        <v>0</v>
      </c>
    </row>
    <row r="152" spans="2:16" ht="12.5">
      <c r="B152" s="160" t="str">
        <f t="shared" si="27"/>
        <v/>
      </c>
      <c r="C152" s="470">
        <f>IF(D93="","-",+C151+1)</f>
        <v>2067</v>
      </c>
      <c r="D152" s="345">
        <f>IF(F151+SUM(E$99:E151)=D$92,F151,D$92-SUM(E$99:E151))</f>
        <v>0</v>
      </c>
      <c r="E152" s="482">
        <f t="shared" si="42"/>
        <v>0</v>
      </c>
      <c r="F152" s="483">
        <f t="shared" si="43"/>
        <v>0</v>
      </c>
      <c r="G152" s="483">
        <f t="shared" si="44"/>
        <v>0</v>
      </c>
      <c r="H152" s="484">
        <f t="shared" si="45"/>
        <v>0</v>
      </c>
      <c r="I152" s="540">
        <f t="shared" si="46"/>
        <v>0</v>
      </c>
      <c r="J152" s="476">
        <f t="shared" si="28"/>
        <v>0</v>
      </c>
      <c r="K152" s="476"/>
      <c r="L152" s="485"/>
      <c r="M152" s="476">
        <f t="shared" si="48"/>
        <v>0</v>
      </c>
      <c r="N152" s="485"/>
      <c r="O152" s="476">
        <f t="shared" si="49"/>
        <v>0</v>
      </c>
      <c r="P152" s="476">
        <f t="shared" si="50"/>
        <v>0</v>
      </c>
    </row>
    <row r="153" spans="2:16" ht="12.5">
      <c r="B153" s="160" t="str">
        <f t="shared" si="27"/>
        <v/>
      </c>
      <c r="C153" s="470">
        <f>IF(D93="","-",+C152+1)</f>
        <v>2068</v>
      </c>
      <c r="D153" s="345">
        <f>IF(F152+SUM(E$99:E152)=D$92,F152,D$92-SUM(E$99:E152))</f>
        <v>0</v>
      </c>
      <c r="E153" s="482">
        <f t="shared" si="42"/>
        <v>0</v>
      </c>
      <c r="F153" s="483">
        <f t="shared" si="43"/>
        <v>0</v>
      </c>
      <c r="G153" s="483">
        <f t="shared" si="44"/>
        <v>0</v>
      </c>
      <c r="H153" s="484">
        <f t="shared" si="45"/>
        <v>0</v>
      </c>
      <c r="I153" s="540">
        <f t="shared" si="46"/>
        <v>0</v>
      </c>
      <c r="J153" s="476">
        <f t="shared" si="28"/>
        <v>0</v>
      </c>
      <c r="K153" s="476"/>
      <c r="L153" s="485"/>
      <c r="M153" s="476">
        <f t="shared" si="48"/>
        <v>0</v>
      </c>
      <c r="N153" s="485"/>
      <c r="O153" s="476">
        <f t="shared" si="49"/>
        <v>0</v>
      </c>
      <c r="P153" s="476">
        <f t="shared" si="50"/>
        <v>0</v>
      </c>
    </row>
    <row r="154" spans="2:16" ht="13" thickBot="1">
      <c r="B154" s="160" t="str">
        <f t="shared" si="27"/>
        <v/>
      </c>
      <c r="C154" s="487">
        <f>IF(D93="","-",+C153+1)</f>
        <v>2069</v>
      </c>
      <c r="D154" s="574">
        <f>IF(F153+SUM(E$99:E153)=D$92,F153,D$92-SUM(E$99:E153))</f>
        <v>0</v>
      </c>
      <c r="E154" s="489">
        <f t="shared" si="42"/>
        <v>0</v>
      </c>
      <c r="F154" s="488">
        <f t="shared" si="43"/>
        <v>0</v>
      </c>
      <c r="G154" s="488">
        <f t="shared" si="44"/>
        <v>0</v>
      </c>
      <c r="H154" s="490">
        <f t="shared" ref="H154" si="51">+J$94*G154+E154</f>
        <v>0</v>
      </c>
      <c r="I154" s="543">
        <f t="shared" ref="I154" si="52">+J$95*G154+E154</f>
        <v>0</v>
      </c>
      <c r="J154" s="493">
        <f t="shared" si="28"/>
        <v>0</v>
      </c>
      <c r="K154" s="493"/>
      <c r="L154" s="492"/>
      <c r="M154" s="493">
        <f t="shared" si="48"/>
        <v>0</v>
      </c>
      <c r="N154" s="492"/>
      <c r="O154" s="493">
        <f t="shared" si="49"/>
        <v>0</v>
      </c>
      <c r="P154" s="493">
        <f t="shared" si="50"/>
        <v>0</v>
      </c>
    </row>
    <row r="155" spans="2:16" ht="12.5">
      <c r="C155" s="345" t="s">
        <v>77</v>
      </c>
      <c r="D155" s="346"/>
      <c r="E155" s="346">
        <f>SUM(E99:E154)</f>
        <v>5059278.0399999991</v>
      </c>
      <c r="F155" s="346"/>
      <c r="G155" s="346"/>
      <c r="H155" s="346">
        <f>SUM(H99:H154)</f>
        <v>17071213.311921805</v>
      </c>
      <c r="I155" s="346">
        <f>SUM(I99:I154)</f>
        <v>17071213.311921805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3" priority="1" stopIfTrue="1" operator="equal">
      <formula>$I$10</formula>
    </cfRule>
  </conditionalFormatting>
  <conditionalFormatting sqref="C99:C154">
    <cfRule type="cellIs" dxfId="3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>
    <tabColor rgb="FF92D050"/>
  </sheetPr>
  <dimension ref="A1:S137"/>
  <sheetViews>
    <sheetView view="pageBreakPreview" topLeftCell="H106" zoomScale="80" zoomScaleNormal="100" zoomScaleSheetLayoutView="80" workbookViewId="0">
      <selection activeCell="Q129" sqref="Q12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16.1796875" style="148" customWidth="1"/>
    <col min="10" max="10" width="2.179687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3.54296875" style="148" bestFit="1" customWidth="1"/>
    <col min="17" max="17" width="4.7265625" style="148" customWidth="1"/>
    <col min="18" max="18" width="15.453125" style="148" customWidth="1"/>
    <col min="19" max="19" width="81.81640625" style="148" bestFit="1" customWidth="1"/>
    <col min="20" max="22" width="8.7265625" style="148"/>
    <col min="23" max="23" width="9.1796875" style="148" customWidth="1"/>
    <col min="24" max="16384" width="8.7265625" style="148"/>
  </cols>
  <sheetData>
    <row r="1" spans="1:18" ht="17.5">
      <c r="A1" s="727" t="s">
        <v>123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18" ht="17.5">
      <c r="A2" s="729" t="str">
        <f>L19+1&amp;" Cost of Service Formula Rate Projected on "&amp;L19&amp;" FF1 Balances"</f>
        <v>2024 Cost of Service Formula Rate Projected on 2023 FF1 Balances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8" ht="18">
      <c r="A3" s="730" t="s">
        <v>140</v>
      </c>
      <c r="B3" s="729"/>
      <c r="C3" s="729"/>
      <c r="D3" s="729"/>
      <c r="E3" s="729"/>
      <c r="F3" s="729"/>
      <c r="G3" s="729"/>
      <c r="H3" s="729"/>
      <c r="I3" s="729"/>
      <c r="J3" s="729"/>
      <c r="Q3" s="238" t="s">
        <v>125</v>
      </c>
    </row>
    <row r="4" spans="1:18" ht="17.5">
      <c r="A4" s="729" t="str">
        <f>"Based on a Carrying Charge Derived from ""Historic"" "&amp;L19&amp;" Data"</f>
        <v>Based on a Carrying Charge Derived from "Historic" 2023 Data</v>
      </c>
      <c r="B4" s="729"/>
      <c r="C4" s="729"/>
      <c r="D4" s="729"/>
      <c r="E4" s="729"/>
      <c r="F4" s="729"/>
      <c r="G4" s="729"/>
      <c r="H4" s="729"/>
      <c r="I4" s="729"/>
      <c r="J4" s="729"/>
    </row>
    <row r="5" spans="1:18" ht="18">
      <c r="A5" s="731" t="s">
        <v>124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18" ht="12.5">
      <c r="A6" s="231"/>
      <c r="B6" s="231"/>
      <c r="C6" s="231"/>
      <c r="D6" s="239"/>
      <c r="E6" s="231"/>
      <c r="F6" s="231"/>
      <c r="G6" s="231"/>
      <c r="H6" s="240"/>
      <c r="I6" s="231"/>
      <c r="J6" s="241"/>
    </row>
    <row r="7" spans="1:18" ht="12.5">
      <c r="D7" s="160"/>
      <c r="H7" s="216"/>
      <c r="J7" s="194"/>
    </row>
    <row r="8" spans="1:18" ht="38.25" customHeight="1">
      <c r="B8" s="242" t="s">
        <v>0</v>
      </c>
      <c r="C8" s="723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724"/>
      <c r="E8" s="724"/>
      <c r="F8" s="724"/>
      <c r="G8" s="724"/>
      <c r="H8" s="724"/>
      <c r="J8" s="194"/>
      <c r="R8" s="233"/>
    </row>
    <row r="9" spans="1:18" ht="12.5">
      <c r="D9" s="160"/>
      <c r="H9" s="216"/>
      <c r="J9" s="194"/>
    </row>
    <row r="10" spans="1:18" ht="15.5">
      <c r="C10" s="243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6"/>
      <c r="J10" s="194"/>
      <c r="K10" s="244"/>
      <c r="L10" s="245"/>
    </row>
    <row r="11" spans="1:18" ht="12.5">
      <c r="D11" s="160"/>
      <c r="H11" s="216"/>
      <c r="J11" s="194"/>
    </row>
    <row r="12" spans="1:18" ht="12.5">
      <c r="C12" s="246" t="str">
        <f>S105</f>
        <v xml:space="preserve">   ROE w/o incentives  (Projected TCOS, ln 148)</v>
      </c>
      <c r="D12" s="160"/>
      <c r="E12" s="247"/>
      <c r="F12" s="248">
        <v>0.112</v>
      </c>
      <c r="G12" s="249"/>
      <c r="H12" s="250"/>
      <c r="I12" s="251"/>
      <c r="J12" s="252"/>
      <c r="K12" s="251"/>
      <c r="L12" s="251"/>
      <c r="M12" s="251"/>
      <c r="N12" s="251"/>
      <c r="O12" s="247"/>
      <c r="P12" s="251"/>
      <c r="Q12" s="231"/>
    </row>
    <row r="13" spans="1:18" ht="12.5">
      <c r="C13" s="246" t="s">
        <v>1</v>
      </c>
      <c r="D13" s="160"/>
      <c r="E13" s="247"/>
      <c r="F13" s="253">
        <f>+R106</f>
        <v>0</v>
      </c>
      <c r="G13" s="148" t="s">
        <v>152</v>
      </c>
      <c r="K13" s="251"/>
      <c r="L13" s="251"/>
      <c r="M13" s="251"/>
      <c r="N13" s="251"/>
      <c r="O13" s="247"/>
      <c r="P13" s="251"/>
      <c r="Q13" s="231"/>
    </row>
    <row r="14" spans="1:18" ht="13.5" thickBot="1">
      <c r="C14" s="246" t="str">
        <f>"   ROE with additional "&amp;F13&amp;" basis point incentive"</f>
        <v xml:space="preserve">   ROE with additional 0 basis point incentive</v>
      </c>
      <c r="D14" s="247"/>
      <c r="E14" s="247"/>
      <c r="F14" s="254">
        <f>IF((F12+(F13/10000)&gt;0.1245),"ERROR",F12+(F13/10000))</f>
        <v>0.112</v>
      </c>
      <c r="G14" s="255" t="s">
        <v>2</v>
      </c>
      <c r="H14" s="251"/>
      <c r="I14" s="251"/>
      <c r="J14" s="252"/>
      <c r="K14" s="251"/>
      <c r="L14" s="251"/>
      <c r="M14" s="251"/>
      <c r="N14" s="251"/>
      <c r="O14" s="247"/>
      <c r="P14" s="251"/>
      <c r="Q14" s="231"/>
    </row>
    <row r="15" spans="1:18" ht="12.5">
      <c r="C15" s="246" t="s">
        <v>231</v>
      </c>
      <c r="D15" s="160"/>
      <c r="E15" s="247"/>
      <c r="F15" s="254"/>
      <c r="G15" s="247"/>
      <c r="H15" s="251"/>
      <c r="I15" s="251"/>
      <c r="J15" s="252"/>
      <c r="K15" s="717" t="s">
        <v>3</v>
      </c>
      <c r="L15" s="718"/>
      <c r="M15" s="718"/>
      <c r="N15" s="718"/>
      <c r="O15" s="719"/>
      <c r="P15" s="251"/>
      <c r="Q15" s="231"/>
    </row>
    <row r="16" spans="1:18" ht="12.5">
      <c r="C16" s="252"/>
      <c r="D16" s="256" t="s">
        <v>4</v>
      </c>
      <c r="E16" s="256" t="s">
        <v>5</v>
      </c>
      <c r="F16" s="257" t="s">
        <v>6</v>
      </c>
      <c r="G16" s="247"/>
      <c r="H16" s="251"/>
      <c r="I16" s="251"/>
      <c r="J16" s="252"/>
      <c r="K16" s="720"/>
      <c r="L16" s="721"/>
      <c r="M16" s="721"/>
      <c r="N16" s="721"/>
      <c r="O16" s="722"/>
      <c r="P16" s="251"/>
      <c r="Q16" s="231"/>
    </row>
    <row r="17" spans="3:17" ht="12.5">
      <c r="C17" s="258" t="s">
        <v>7</v>
      </c>
      <c r="D17" s="259">
        <f>+R107</f>
        <v>0.44351731865779193</v>
      </c>
      <c r="E17" s="260">
        <f>+R108</f>
        <v>3.8900194800400766E-2</v>
      </c>
      <c r="F17" s="261">
        <f>E17*D17</f>
        <v>1.7252910093139527E-2</v>
      </c>
      <c r="G17" s="247"/>
      <c r="H17" s="251"/>
      <c r="I17" s="262"/>
      <c r="J17" s="263"/>
      <c r="K17" s="264"/>
      <c r="L17" s="265"/>
      <c r="M17" s="252" t="s">
        <v>8</v>
      </c>
      <c r="N17" s="252" t="s">
        <v>9</v>
      </c>
      <c r="O17" s="266" t="s">
        <v>10</v>
      </c>
      <c r="P17" s="251"/>
      <c r="Q17" s="231"/>
    </row>
    <row r="18" spans="3:17" ht="12.5">
      <c r="C18" s="258" t="s">
        <v>11</v>
      </c>
      <c r="D18" s="259">
        <f>+R109</f>
        <v>0</v>
      </c>
      <c r="E18" s="260">
        <f>+R110</f>
        <v>0</v>
      </c>
      <c r="F18" s="261">
        <f>E18*D18</f>
        <v>0</v>
      </c>
      <c r="G18" s="267"/>
      <c r="H18" s="267"/>
      <c r="I18" s="268"/>
      <c r="J18" s="269"/>
      <c r="K18" s="270"/>
      <c r="L18" s="194"/>
      <c r="M18" s="194"/>
      <c r="N18" s="194"/>
      <c r="O18" s="271"/>
      <c r="P18" s="267"/>
      <c r="Q18" s="231"/>
    </row>
    <row r="19" spans="3:17" ht="13" thickBot="1">
      <c r="C19" s="272" t="s">
        <v>12</v>
      </c>
      <c r="D19" s="259">
        <f>+R111</f>
        <v>0.55648268134220802</v>
      </c>
      <c r="E19" s="260">
        <f>+F14</f>
        <v>0.112</v>
      </c>
      <c r="F19" s="273">
        <f>E19*D19</f>
        <v>6.2326060310327301E-2</v>
      </c>
      <c r="G19" s="267"/>
      <c r="H19" s="267"/>
      <c r="I19" s="254"/>
      <c r="J19" s="269"/>
      <c r="K19" s="274" t="s">
        <v>13</v>
      </c>
      <c r="L19" s="275">
        <f>R104</f>
        <v>2023</v>
      </c>
      <c r="M19" s="276">
        <f>SUM('P.001:P.xyz - blank'!N5)</f>
        <v>8934162.4871747103</v>
      </c>
      <c r="N19" s="276">
        <f>SUM('P.001:P.xyz - blank'!N6)</f>
        <v>8934162.4871747103</v>
      </c>
      <c r="O19" s="277">
        <f>+N19-M19</f>
        <v>0</v>
      </c>
      <c r="P19" s="268"/>
      <c r="Q19" s="231"/>
    </row>
    <row r="20" spans="3:17" ht="12.5">
      <c r="C20" s="246"/>
      <c r="D20" s="247"/>
      <c r="E20" s="278" t="s">
        <v>14</v>
      </c>
      <c r="F20" s="261">
        <f>SUM(F17:F19)</f>
        <v>7.9578970403466828E-2</v>
      </c>
      <c r="G20" s="267"/>
      <c r="H20" s="267"/>
      <c r="I20" s="268"/>
      <c r="J20" s="269"/>
      <c r="M20" s="279" t="str">
        <f>IF(M19=SUM('P.001:P.xyz - blank'!N5),"","ERROR")</f>
        <v/>
      </c>
      <c r="N20" s="279" t="str">
        <f>IF(N19=SUM('P.001:P.xyz - blank'!N6),"","ERROR")</f>
        <v/>
      </c>
      <c r="O20" s="279" t="str">
        <f>IF(O19=SUM('P.001:P.xyz - blank'!N7),"","ERROR")</f>
        <v/>
      </c>
      <c r="P20" s="267"/>
      <c r="Q20" s="231"/>
    </row>
    <row r="21" spans="3:17" ht="13">
      <c r="D21" s="280"/>
      <c r="E21" s="280"/>
      <c r="F21" s="267"/>
      <c r="G21" s="267"/>
      <c r="H21" s="267"/>
      <c r="I21" s="267"/>
      <c r="J21" s="281"/>
      <c r="K21" s="177" t="s">
        <v>15</v>
      </c>
      <c r="P21" s="267"/>
      <c r="Q21" s="231"/>
    </row>
    <row r="22" spans="3:17" ht="15.5">
      <c r="C22" s="243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0"/>
      <c r="E22" s="280"/>
      <c r="F22" s="282"/>
      <c r="G22" s="267"/>
      <c r="H22" s="247"/>
      <c r="I22" s="267"/>
      <c r="J22" s="281"/>
      <c r="K22" s="148" t="s">
        <v>16</v>
      </c>
      <c r="P22" s="267"/>
      <c r="Q22" s="231"/>
    </row>
    <row r="23" spans="3:17" ht="12.5">
      <c r="C23" s="252"/>
      <c r="D23" s="280"/>
      <c r="E23" s="280"/>
      <c r="F23" s="281"/>
      <c r="G23" s="281"/>
      <c r="H23" s="281"/>
      <c r="I23" s="281"/>
      <c r="J23" s="281"/>
      <c r="K23" s="268"/>
      <c r="L23" s="283"/>
      <c r="M23" s="235"/>
      <c r="N23" s="268"/>
      <c r="O23" s="267"/>
      <c r="P23" s="281"/>
      <c r="Q23" s="241"/>
    </row>
    <row r="24" spans="3:17" ht="12.5">
      <c r="C24" s="246" t="str">
        <f>+S112</f>
        <v xml:space="preserve">   Rate Base  (TCOS, ln 62)</v>
      </c>
      <c r="D24" s="247"/>
      <c r="E24" s="284">
        <f>+R112</f>
        <v>691092852.09287727</v>
      </c>
      <c r="F24" s="285"/>
      <c r="G24" s="281"/>
      <c r="H24" s="281"/>
      <c r="I24" s="281"/>
      <c r="J24" s="281"/>
      <c r="K24" s="281"/>
      <c r="L24" s="281"/>
      <c r="M24" s="281"/>
      <c r="N24" s="281"/>
      <c r="O24" s="281"/>
      <c r="P24" s="285"/>
      <c r="Q24" s="241"/>
    </row>
    <row r="25" spans="3:17" ht="12.5">
      <c r="C25" s="252" t="s">
        <v>17</v>
      </c>
      <c r="D25" s="249"/>
      <c r="E25" s="286">
        <f>F20</f>
        <v>7.9578970403466828E-2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41"/>
    </row>
    <row r="26" spans="3:17" ht="12.5">
      <c r="C26" s="287" t="s">
        <v>18</v>
      </c>
      <c r="D26" s="287"/>
      <c r="E26" s="268">
        <f>E24*E25</f>
        <v>54996457.622746557</v>
      </c>
      <c r="F26" s="281"/>
      <c r="G26" s="281"/>
      <c r="H26" s="281"/>
      <c r="I26" s="269"/>
      <c r="J26" s="269"/>
      <c r="K26" s="269"/>
      <c r="L26" s="269"/>
      <c r="M26" s="281"/>
      <c r="N26" s="269"/>
      <c r="O26" s="281"/>
      <c r="P26" s="281"/>
      <c r="Q26" s="241"/>
    </row>
    <row r="27" spans="3:17" ht="12.5">
      <c r="C27" s="288"/>
      <c r="D27" s="251"/>
      <c r="E27" s="251"/>
      <c r="F27" s="281"/>
      <c r="G27" s="281"/>
      <c r="H27" s="281"/>
      <c r="I27" s="269"/>
      <c r="J27" s="269"/>
      <c r="K27" s="269"/>
      <c r="L27" s="269"/>
      <c r="M27" s="281"/>
      <c r="N27" s="269"/>
      <c r="O27" s="281"/>
      <c r="P27" s="281"/>
      <c r="Q27" s="241"/>
    </row>
    <row r="28" spans="3:17" ht="15.5">
      <c r="C28" s="243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89"/>
      <c r="E28" s="289"/>
      <c r="F28" s="290"/>
      <c r="G28" s="290"/>
      <c r="H28" s="290"/>
      <c r="I28" s="291"/>
      <c r="J28" s="291"/>
      <c r="K28" s="291"/>
      <c r="L28" s="291"/>
      <c r="M28" s="281"/>
      <c r="N28" s="291"/>
      <c r="O28" s="290"/>
      <c r="P28" s="290"/>
      <c r="Q28" s="241"/>
    </row>
    <row r="29" spans="3:17" ht="12.5">
      <c r="C29" s="246"/>
      <c r="D29" s="251"/>
      <c r="E29" s="251"/>
      <c r="F29" s="281"/>
      <c r="G29" s="281"/>
      <c r="H29" s="281"/>
      <c r="I29" s="269"/>
      <c r="J29" s="269"/>
      <c r="K29" s="269"/>
      <c r="L29" s="269"/>
      <c r="M29" s="281"/>
      <c r="N29" s="269"/>
      <c r="O29" s="281"/>
      <c r="P29" s="281"/>
      <c r="Q29" s="241"/>
    </row>
    <row r="30" spans="3:17" ht="12.5">
      <c r="C30" s="252" t="s">
        <v>19</v>
      </c>
      <c r="D30" s="278"/>
      <c r="E30" s="292">
        <f>E26</f>
        <v>54996457.622746557</v>
      </c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41"/>
    </row>
    <row r="31" spans="3:17" ht="12.5">
      <c r="C31" s="246" t="str">
        <f>+S113</f>
        <v xml:space="preserve">   Tax Rate  (TCOS, ln 97)</v>
      </c>
      <c r="D31" s="278"/>
      <c r="E31" s="293">
        <f>+R113</f>
        <v>0.24025699999999994</v>
      </c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41"/>
    </row>
    <row r="32" spans="3:17" ht="12.5">
      <c r="C32" s="252" t="s">
        <v>20</v>
      </c>
      <c r="D32" s="239"/>
      <c r="E32" s="254">
        <f>IF(F17&gt;0,($E31/(1-$E31))*(1-$F17/$F20),0)</f>
        <v>0.24767416199276754</v>
      </c>
      <c r="F32" s="231"/>
      <c r="G32" s="254"/>
      <c r="H32" s="240"/>
      <c r="I32" s="231"/>
      <c r="J32" s="241"/>
      <c r="K32" s="231"/>
      <c r="L32" s="231"/>
      <c r="M32" s="231"/>
      <c r="N32" s="231"/>
      <c r="O32" s="231"/>
      <c r="P32" s="231"/>
      <c r="Q32" s="231"/>
    </row>
    <row r="33" spans="2:19" ht="12.5">
      <c r="C33" s="287" t="s">
        <v>21</v>
      </c>
      <c r="D33" s="294"/>
      <c r="E33" s="295">
        <f>E30*E32</f>
        <v>13621201.554284506</v>
      </c>
      <c r="F33" s="295"/>
      <c r="G33" s="231"/>
      <c r="H33" s="240"/>
      <c r="I33" s="231"/>
      <c r="J33" s="241"/>
      <c r="K33" s="231"/>
      <c r="L33" s="231"/>
      <c r="M33" s="231"/>
      <c r="N33" s="231"/>
      <c r="O33" s="231"/>
      <c r="P33" s="231"/>
      <c r="Q33" s="231"/>
    </row>
    <row r="34" spans="2:19" ht="15.5">
      <c r="C34" s="246" t="str">
        <f>+S114</f>
        <v xml:space="preserve">   ITC Adjustment  (TCOS, ln 106)</v>
      </c>
      <c r="D34" s="296"/>
      <c r="E34" s="297">
        <f>+R114</f>
        <v>-307552.43396744458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8"/>
      <c r="Q34" s="296"/>
    </row>
    <row r="35" spans="2:19" ht="15.5">
      <c r="C35" s="246" t="str">
        <f>+S115</f>
        <v xml:space="preserve">   Excess DFIT Adjustment  (TCOS, ln 107)</v>
      </c>
      <c r="D35" s="296"/>
      <c r="E35" s="297">
        <f>+R115</f>
        <v>-2340629.3213634901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8"/>
      <c r="Q35" s="296"/>
    </row>
    <row r="36" spans="2:19" ht="15.5">
      <c r="C36" s="246" t="str">
        <f>+S116</f>
        <v xml:space="preserve">   Tax Effect of Permanent and Flow Through Differences  (TCOS, ln 108)</v>
      </c>
      <c r="D36" s="296"/>
      <c r="E36" s="297">
        <f>+R116</f>
        <v>70869.675666639887</v>
      </c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8"/>
      <c r="Q36" s="296"/>
    </row>
    <row r="37" spans="2:19" ht="15.5">
      <c r="C37" s="288" t="s">
        <v>22</v>
      </c>
      <c r="D37" s="296"/>
      <c r="E37" s="297">
        <f>E33+E34+E35+E36</f>
        <v>11043889.47462021</v>
      </c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9"/>
      <c r="Q37" s="296"/>
    </row>
    <row r="38" spans="2:19" ht="12.75" customHeight="1">
      <c r="C38" s="300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9"/>
      <c r="Q38" s="296"/>
      <c r="R38" s="231"/>
      <c r="S38" s="231"/>
    </row>
    <row r="39" spans="2:19" ht="18">
      <c r="B39" s="301" t="s">
        <v>23</v>
      </c>
      <c r="C39" s="302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9"/>
      <c r="Q39" s="296"/>
      <c r="R39" s="231"/>
      <c r="S39" s="231"/>
    </row>
    <row r="40" spans="2:19" ht="15.75" customHeight="1">
      <c r="B40" s="301"/>
      <c r="C40" s="302" t="str">
        <f>"ROE increase."</f>
        <v>ROE increase.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9"/>
      <c r="Q40" s="296"/>
      <c r="R40" s="231"/>
      <c r="S40" s="231"/>
    </row>
    <row r="41" spans="2:19" ht="12.75" customHeight="1">
      <c r="C41" s="300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9"/>
      <c r="Q41" s="296"/>
      <c r="R41" s="231"/>
      <c r="S41" s="231"/>
    </row>
    <row r="42" spans="2:19" ht="15.5">
      <c r="C42" s="243" t="s">
        <v>24</v>
      </c>
      <c r="D42" s="296"/>
      <c r="E42" s="296"/>
      <c r="F42" s="303"/>
      <c r="G42" s="296"/>
      <c r="H42" s="296"/>
      <c r="I42" s="296"/>
      <c r="J42" s="296"/>
      <c r="K42" s="296"/>
      <c r="L42" s="296"/>
      <c r="M42" s="296"/>
      <c r="N42" s="296"/>
      <c r="O42" s="296"/>
      <c r="P42" s="299"/>
      <c r="Q42" s="296"/>
      <c r="R42" s="231"/>
      <c r="S42" s="231"/>
    </row>
    <row r="43" spans="2:19" ht="12.5">
      <c r="B43" s="231"/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297"/>
      <c r="Q43" s="305"/>
      <c r="R43" s="231"/>
      <c r="S43" s="231"/>
    </row>
    <row r="44" spans="2:19" ht="12.75" customHeight="1">
      <c r="B44" s="231"/>
      <c r="C44" s="246" t="str">
        <f>+S117</f>
        <v xml:space="preserve">   Net Revenue Requirement  (TCOS, ln 115)</v>
      </c>
      <c r="D44" s="305"/>
      <c r="E44" s="305"/>
      <c r="F44" s="297">
        <f>+R117</f>
        <v>120644614.02858891</v>
      </c>
      <c r="G44" s="305"/>
      <c r="H44" s="305"/>
      <c r="I44" s="305"/>
      <c r="J44" s="305"/>
      <c r="K44" s="305"/>
      <c r="L44" s="305"/>
      <c r="M44" s="305"/>
      <c r="N44" s="305"/>
      <c r="O44" s="305"/>
      <c r="P44" s="297"/>
      <c r="Q44" s="305"/>
      <c r="R44" s="231"/>
      <c r="S44" s="231"/>
    </row>
    <row r="45" spans="2:19" ht="12.5">
      <c r="B45" s="231"/>
      <c r="C45" s="246" t="str">
        <f>+S118</f>
        <v xml:space="preserve">   Return  (TCOS, ln 110)</v>
      </c>
      <c r="D45" s="305"/>
      <c r="E45" s="305"/>
      <c r="F45" s="306">
        <f>+R118</f>
        <v>52304389.199023008</v>
      </c>
      <c r="G45" s="307"/>
      <c r="H45" s="307"/>
      <c r="I45" s="307"/>
      <c r="J45" s="307"/>
      <c r="K45" s="307"/>
      <c r="L45" s="307"/>
      <c r="M45" s="307"/>
      <c r="N45" s="307"/>
      <c r="O45" s="307"/>
      <c r="P45" s="297"/>
      <c r="Q45" s="305"/>
      <c r="R45" s="231"/>
      <c r="S45" s="231"/>
    </row>
    <row r="46" spans="2:19" ht="12.5">
      <c r="B46" s="231"/>
      <c r="C46" s="246" t="str">
        <f>+S119</f>
        <v xml:space="preserve">   Income Taxes  (TCOS, ln 109)</v>
      </c>
      <c r="D46" s="305"/>
      <c r="E46" s="305"/>
      <c r="F46" s="297">
        <f>+R119</f>
        <v>10192564.377477428</v>
      </c>
      <c r="G46" s="305"/>
      <c r="H46" s="305"/>
      <c r="I46" s="308"/>
      <c r="J46" s="308"/>
      <c r="K46" s="308"/>
      <c r="L46" s="308"/>
      <c r="M46" s="308"/>
      <c r="N46" s="308"/>
      <c r="O46" s="305"/>
      <c r="P46" s="305"/>
      <c r="Q46" s="305"/>
      <c r="R46" s="231"/>
      <c r="S46" s="231"/>
    </row>
    <row r="47" spans="2:19" ht="12.5">
      <c r="B47" s="231"/>
      <c r="C47" s="304" t="str">
        <f>+S120</f>
        <v xml:space="preserve">  Gross Margin Taxes  (TCOS, ln 114)</v>
      </c>
      <c r="D47" s="305"/>
      <c r="E47" s="305"/>
      <c r="F47" s="309">
        <f>+R120</f>
        <v>0</v>
      </c>
      <c r="G47" s="305"/>
      <c r="H47" s="305"/>
      <c r="I47" s="308"/>
      <c r="J47" s="308"/>
      <c r="K47" s="308"/>
      <c r="L47" s="308"/>
      <c r="M47" s="308"/>
      <c r="N47" s="308"/>
      <c r="O47" s="305"/>
      <c r="P47" s="305"/>
      <c r="Q47" s="305"/>
      <c r="R47" s="231"/>
      <c r="S47" s="231"/>
    </row>
    <row r="48" spans="2:19" ht="12.5">
      <c r="B48" s="231"/>
      <c r="C48" s="310" t="s">
        <v>25</v>
      </c>
      <c r="D48" s="305"/>
      <c r="E48" s="305"/>
      <c r="F48" s="306">
        <f>F44-F45-F46-F47</f>
        <v>58147660.452088468</v>
      </c>
      <c r="G48" s="311"/>
      <c r="H48" s="305"/>
      <c r="I48" s="311"/>
      <c r="J48" s="311"/>
      <c r="K48" s="311"/>
      <c r="L48" s="311"/>
      <c r="M48" s="311"/>
      <c r="N48" s="311"/>
      <c r="O48" s="305"/>
      <c r="P48" s="311"/>
      <c r="Q48" s="305"/>
      <c r="R48" s="231"/>
      <c r="S48" s="231"/>
    </row>
    <row r="49" spans="2:19" ht="12.5">
      <c r="B49" s="231"/>
      <c r="C49" s="304"/>
      <c r="D49" s="305"/>
      <c r="E49" s="305"/>
      <c r="F49" s="297"/>
      <c r="G49" s="312"/>
      <c r="H49" s="313"/>
      <c r="I49" s="313"/>
      <c r="J49" s="313"/>
      <c r="K49" s="313"/>
      <c r="L49" s="313"/>
      <c r="M49" s="313"/>
      <c r="N49" s="313"/>
      <c r="O49" s="314"/>
      <c r="P49" s="313"/>
      <c r="Q49" s="315"/>
      <c r="R49" s="231"/>
      <c r="S49" s="231"/>
    </row>
    <row r="50" spans="2:19" ht="15.5">
      <c r="B50" s="231"/>
      <c r="C50" s="243" t="str">
        <f>"B.   Determine Net Revenue Requirement with hypothetical "&amp;F13&amp;" basis point increase in ROE."</f>
        <v>B.   Determine Net Revenue Requirement with hypothetical 0 basis point increase in ROE.</v>
      </c>
      <c r="D50" s="314"/>
      <c r="E50" s="314"/>
      <c r="F50" s="297"/>
      <c r="G50" s="312"/>
      <c r="H50" s="313"/>
      <c r="I50" s="313"/>
      <c r="J50" s="313"/>
      <c r="K50" s="313"/>
      <c r="L50" s="313"/>
      <c r="M50" s="313"/>
      <c r="N50" s="313"/>
      <c r="O50" s="314"/>
      <c r="P50" s="313"/>
      <c r="Q50" s="305"/>
    </row>
    <row r="51" spans="2:19" ht="12.5">
      <c r="B51" s="231"/>
      <c r="C51" s="304"/>
      <c r="D51" s="314"/>
      <c r="E51" s="314"/>
      <c r="F51" s="297"/>
      <c r="G51" s="312"/>
      <c r="H51" s="313"/>
      <c r="I51" s="313"/>
      <c r="J51" s="313"/>
      <c r="K51" s="313"/>
      <c r="L51" s="313"/>
      <c r="M51" s="313"/>
      <c r="N51" s="313"/>
      <c r="O51" s="314"/>
      <c r="P51" s="313"/>
      <c r="Q51" s="305"/>
    </row>
    <row r="52" spans="2:19" ht="13">
      <c r="B52" s="231"/>
      <c r="C52" s="304" t="str">
        <f>C48</f>
        <v xml:space="preserve">   Net Revenue Requirement, Less Return and Taxes</v>
      </c>
      <c r="D52" s="314"/>
      <c r="E52" s="314"/>
      <c r="F52" s="297">
        <f>F48</f>
        <v>58147660.452088468</v>
      </c>
      <c r="G52" s="305"/>
      <c r="H52" s="305"/>
      <c r="I52" s="305"/>
      <c r="J52" s="305"/>
      <c r="K52" s="305"/>
      <c r="L52" s="305"/>
      <c r="M52" s="305"/>
      <c r="N52" s="305"/>
      <c r="O52" s="316"/>
      <c r="P52" s="317"/>
      <c r="Q52" s="318"/>
    </row>
    <row r="53" spans="2:19" ht="13">
      <c r="B53" s="231"/>
      <c r="C53" s="252" t="s">
        <v>103</v>
      </c>
      <c r="D53" s="319"/>
      <c r="E53" s="310"/>
      <c r="F53" s="320">
        <f>E26</f>
        <v>54996457.622746557</v>
      </c>
      <c r="G53" s="310"/>
      <c r="H53" s="321"/>
      <c r="I53" s="310"/>
      <c r="J53" s="310"/>
      <c r="K53" s="310"/>
      <c r="L53" s="310"/>
      <c r="M53" s="310"/>
      <c r="N53" s="310"/>
      <c r="O53" s="310"/>
      <c r="P53" s="310"/>
      <c r="Q53" s="310"/>
    </row>
    <row r="54" spans="2:19" ht="12.75" customHeight="1">
      <c r="B54" s="231"/>
      <c r="C54" s="246" t="s">
        <v>26</v>
      </c>
      <c r="D54" s="305"/>
      <c r="E54" s="305"/>
      <c r="F54" s="322">
        <f>E37</f>
        <v>11043889.47462021</v>
      </c>
      <c r="G54" s="231"/>
      <c r="H54" s="240"/>
      <c r="I54" s="231"/>
      <c r="J54" s="241"/>
      <c r="K54" s="231"/>
      <c r="L54" s="231"/>
      <c r="M54" s="231"/>
      <c r="N54" s="231"/>
      <c r="O54" s="231"/>
      <c r="P54" s="231"/>
      <c r="Q54" s="231"/>
    </row>
    <row r="55" spans="2:19" ht="12.5">
      <c r="B55" s="231"/>
      <c r="C55" s="310" t="str">
        <f>"   Net Revenue Requirement, with "&amp;F13&amp;" Basis Point ROE increase"</f>
        <v xml:space="preserve">   Net Revenue Requirement, with 0 Basis Point ROE increase</v>
      </c>
      <c r="D55" s="239"/>
      <c r="E55" s="231"/>
      <c r="F55" s="295">
        <f>SUM(F52:F54)</f>
        <v>124188007.54945524</v>
      </c>
      <c r="G55" s="231"/>
      <c r="H55" s="240"/>
      <c r="I55" s="231"/>
      <c r="J55" s="241"/>
      <c r="K55" s="231"/>
      <c r="L55" s="231"/>
      <c r="M55" s="231"/>
      <c r="N55" s="231"/>
      <c r="O55" s="231"/>
      <c r="P55" s="231"/>
      <c r="Q55" s="231"/>
      <c r="R55" s="231"/>
      <c r="S55" s="231"/>
    </row>
    <row r="56" spans="2:19" ht="12.5">
      <c r="B56" s="231"/>
      <c r="C56" s="323" t="str">
        <f>"   Gross Margin Tax with "&amp;F13&amp;" Basis Point ROE Increase (II C. below)"</f>
        <v xml:space="preserve">   Gross Margin Tax with 0 Basis Point ROE Increase (II C. below)</v>
      </c>
      <c r="D56" s="324"/>
      <c r="E56" s="324"/>
      <c r="F56" s="325">
        <f>+F71</f>
        <v>0</v>
      </c>
      <c r="G56" s="231"/>
      <c r="H56" s="240"/>
      <c r="I56" s="231"/>
      <c r="J56" s="241"/>
      <c r="K56" s="231"/>
      <c r="L56" s="231"/>
      <c r="M56" s="231"/>
      <c r="N56" s="231"/>
      <c r="O56" s="231"/>
      <c r="P56" s="231"/>
      <c r="Q56" s="231"/>
      <c r="R56" s="231"/>
      <c r="S56" s="231"/>
    </row>
    <row r="57" spans="2:19" ht="12.5">
      <c r="B57" s="231"/>
      <c r="C57" s="310" t="s">
        <v>27</v>
      </c>
      <c r="D57" s="239"/>
      <c r="E57" s="231"/>
      <c r="F57" s="326">
        <f>+F55+F56</f>
        <v>124188007.54945524</v>
      </c>
      <c r="G57" s="231"/>
      <c r="H57" s="240"/>
      <c r="I57" s="231"/>
      <c r="J57" s="241"/>
      <c r="K57" s="231"/>
      <c r="L57" s="231"/>
      <c r="M57" s="231"/>
      <c r="N57" s="231"/>
      <c r="O57" s="231"/>
      <c r="P57" s="231"/>
      <c r="Q57" s="231"/>
      <c r="R57" s="231"/>
      <c r="S57" s="231"/>
    </row>
    <row r="58" spans="2:19" ht="12.5">
      <c r="B58" s="231"/>
      <c r="C58" s="246" t="str">
        <f>+S121</f>
        <v xml:space="preserve">   Less: Depreciation  (TCOS, ln 84)</v>
      </c>
      <c r="D58" s="239"/>
      <c r="E58" s="231"/>
      <c r="F58" s="327">
        <f>+R121</f>
        <v>26280634.144685224</v>
      </c>
      <c r="G58" s="231"/>
      <c r="H58" s="240"/>
      <c r="I58" s="231"/>
      <c r="J58" s="241"/>
      <c r="K58" s="231"/>
      <c r="L58" s="231"/>
      <c r="M58" s="231"/>
      <c r="N58" s="231"/>
      <c r="O58" s="231"/>
      <c r="P58" s="231"/>
      <c r="Q58" s="231"/>
      <c r="R58" s="231"/>
      <c r="S58" s="231"/>
    </row>
    <row r="59" spans="2:19" ht="12.5">
      <c r="B59" s="231"/>
      <c r="C59" s="310" t="str">
        <f>"   Net Rev. Req, w/"&amp;F13&amp;" Basis Point ROE increase, less Depreciation"</f>
        <v xml:space="preserve">   Net Rev. Req, w/0 Basis Point ROE increase, less Depreciation</v>
      </c>
      <c r="D59" s="239"/>
      <c r="E59" s="231"/>
      <c r="F59" s="295">
        <f>F57-F58</f>
        <v>97907373.404770017</v>
      </c>
      <c r="G59" s="231"/>
      <c r="H59" s="240"/>
      <c r="I59" s="231"/>
      <c r="J59" s="241"/>
      <c r="K59" s="231"/>
      <c r="L59" s="231"/>
      <c r="M59" s="231"/>
      <c r="N59" s="231"/>
      <c r="O59" s="231"/>
      <c r="P59" s="231"/>
      <c r="Q59" s="231"/>
      <c r="R59" s="231"/>
      <c r="S59" s="231"/>
    </row>
    <row r="60" spans="2:19" ht="12.5">
      <c r="B60" s="231"/>
      <c r="C60" s="231"/>
      <c r="D60" s="239"/>
      <c r="E60" s="231"/>
      <c r="F60" s="231"/>
      <c r="G60" s="231"/>
      <c r="H60" s="240"/>
      <c r="I60" s="231"/>
      <c r="J60" s="241"/>
      <c r="K60" s="231"/>
      <c r="L60" s="231"/>
      <c r="M60" s="231"/>
      <c r="N60" s="231"/>
      <c r="O60" s="231"/>
      <c r="P60" s="231"/>
      <c r="Q60" s="231"/>
      <c r="R60" s="231"/>
      <c r="S60" s="231"/>
    </row>
    <row r="61" spans="2:19" ht="15.5">
      <c r="B61" s="328"/>
      <c r="C61" s="329" t="str">
        <f>"C.   Determine Gross Margin Tax with hypothetical "&amp;F13&amp;" basis point increase in ROE."</f>
        <v>C.   Determine Gross Margin Tax with hypothetical 0 basis point increase in ROE.</v>
      </c>
      <c r="D61" s="330"/>
      <c r="E61" s="330"/>
      <c r="F61" s="331"/>
      <c r="G61" s="328"/>
      <c r="H61" s="332"/>
      <c r="I61" s="328"/>
      <c r="J61" s="241"/>
      <c r="K61" s="231"/>
      <c r="L61" s="231"/>
      <c r="M61" s="231"/>
      <c r="N61" s="231"/>
      <c r="O61" s="231"/>
      <c r="P61" s="231"/>
      <c r="Q61" s="231"/>
      <c r="R61" s="231"/>
      <c r="S61" s="231"/>
    </row>
    <row r="62" spans="2:19" ht="12.5">
      <c r="B62" s="328"/>
      <c r="C62" s="323" t="str">
        <f>"   Net Revenue Requirement before Gross Margin Taxes, with "&amp;F13&amp;" "</f>
        <v xml:space="preserve">   Net Revenue Requirement before Gross Margin Taxes, with 0 </v>
      </c>
      <c r="D62" s="330"/>
      <c r="E62" s="330"/>
      <c r="F62" s="331">
        <f>+F55</f>
        <v>124188007.54945524</v>
      </c>
      <c r="G62" s="328"/>
      <c r="H62" s="332"/>
      <c r="I62" s="328"/>
      <c r="J62" s="241"/>
      <c r="K62" s="231"/>
      <c r="L62" s="231"/>
      <c r="M62" s="231"/>
      <c r="N62" s="231"/>
      <c r="O62" s="231"/>
      <c r="P62" s="231"/>
      <c r="Q62" s="231"/>
      <c r="R62" s="231"/>
      <c r="S62" s="231"/>
    </row>
    <row r="63" spans="2:19" ht="12.5">
      <c r="B63" s="328"/>
      <c r="C63" s="323" t="s">
        <v>28</v>
      </c>
      <c r="D63" s="330"/>
      <c r="E63" s="330"/>
      <c r="F63" s="331"/>
      <c r="G63" s="328"/>
      <c r="H63" s="332"/>
      <c r="I63" s="328"/>
      <c r="J63" s="24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2:19" ht="12.5">
      <c r="B64" s="328"/>
      <c r="C64" s="310" t="str">
        <f>+S122</f>
        <v xml:space="preserve">       Apportionment Factor to Texas (Worksheet K, ln 12)</v>
      </c>
      <c r="D64" s="294"/>
      <c r="E64" s="328"/>
      <c r="F64" s="333">
        <f>+R122</f>
        <v>0</v>
      </c>
      <c r="G64" s="328"/>
      <c r="H64" s="332"/>
      <c r="I64" s="328"/>
      <c r="J64" s="241"/>
      <c r="K64" s="231"/>
      <c r="L64" s="231"/>
      <c r="M64" s="231"/>
      <c r="N64" s="231"/>
      <c r="O64" s="231"/>
      <c r="P64" s="231"/>
      <c r="Q64" s="231"/>
      <c r="R64" s="231"/>
      <c r="S64" s="231"/>
    </row>
    <row r="65" spans="2:19" ht="12.5">
      <c r="B65" s="328"/>
      <c r="C65" s="310" t="s">
        <v>29</v>
      </c>
      <c r="D65" s="294"/>
      <c r="E65" s="328"/>
      <c r="F65" s="331">
        <f>+F62*F64</f>
        <v>0</v>
      </c>
      <c r="G65" s="328"/>
      <c r="H65" s="332"/>
      <c r="I65" s="328"/>
      <c r="J65" s="241"/>
      <c r="K65" s="231"/>
      <c r="L65" s="231"/>
      <c r="M65" s="231"/>
      <c r="N65" s="231"/>
      <c r="O65" s="231"/>
      <c r="P65" s="231"/>
      <c r="Q65" s="231"/>
      <c r="R65" s="231"/>
      <c r="S65" s="231"/>
    </row>
    <row r="66" spans="2:19" ht="12.5">
      <c r="B66" s="328"/>
      <c r="C66" s="310" t="s">
        <v>283</v>
      </c>
      <c r="D66" s="294"/>
      <c r="E66" s="328"/>
      <c r="F66" s="334">
        <v>0.22</v>
      </c>
      <c r="G66" s="328"/>
      <c r="H66" s="332"/>
      <c r="I66" s="328"/>
      <c r="J66" s="241"/>
      <c r="K66" s="231"/>
      <c r="L66" s="231"/>
      <c r="M66" s="231"/>
      <c r="N66" s="231"/>
      <c r="O66" s="231"/>
      <c r="P66" s="231"/>
      <c r="Q66" s="231"/>
      <c r="R66" s="231"/>
      <c r="S66" s="231"/>
    </row>
    <row r="67" spans="2:19" ht="12.5">
      <c r="B67" s="328"/>
      <c r="C67" s="310" t="s">
        <v>30</v>
      </c>
      <c r="D67" s="294"/>
      <c r="E67" s="328"/>
      <c r="F67" s="331">
        <f>+F65*F66</f>
        <v>0</v>
      </c>
      <c r="G67" s="328"/>
      <c r="H67" s="332"/>
      <c r="I67" s="328"/>
      <c r="J67" s="241"/>
      <c r="K67" s="231"/>
      <c r="L67" s="231"/>
      <c r="M67" s="231"/>
      <c r="N67" s="231"/>
      <c r="O67" s="231"/>
      <c r="P67" s="231"/>
      <c r="Q67" s="231"/>
      <c r="R67" s="231"/>
      <c r="S67" s="231"/>
    </row>
    <row r="68" spans="2:19" ht="12.5">
      <c r="B68" s="328"/>
      <c r="C68" s="310" t="s">
        <v>31</v>
      </c>
      <c r="D68" s="294"/>
      <c r="E68" s="328"/>
      <c r="F68" s="334">
        <v>0.01</v>
      </c>
      <c r="G68" s="328"/>
      <c r="H68" s="332"/>
      <c r="I68" s="328"/>
      <c r="J68" s="241"/>
      <c r="K68" s="231"/>
      <c r="L68" s="231"/>
      <c r="M68" s="231"/>
      <c r="N68" s="231"/>
      <c r="O68" s="231"/>
      <c r="P68" s="231"/>
      <c r="Q68" s="231"/>
      <c r="R68" s="231"/>
      <c r="S68" s="231"/>
    </row>
    <row r="69" spans="2:19" ht="12.5">
      <c r="B69" s="328"/>
      <c r="C69" s="310" t="s">
        <v>32</v>
      </c>
      <c r="D69" s="294"/>
      <c r="E69" s="328"/>
      <c r="F69" s="331">
        <f>+F67*F68</f>
        <v>0</v>
      </c>
      <c r="G69" s="328"/>
      <c r="H69" s="332"/>
      <c r="I69" s="328"/>
      <c r="J69" s="241"/>
      <c r="K69" s="231"/>
      <c r="L69" s="231"/>
      <c r="M69" s="231"/>
      <c r="N69" s="231"/>
      <c r="O69" s="231"/>
      <c r="P69" s="231"/>
      <c r="Q69" s="231"/>
      <c r="R69" s="231"/>
      <c r="S69" s="231"/>
    </row>
    <row r="70" spans="2:19" ht="12.5">
      <c r="B70" s="328"/>
      <c r="C70" s="310" t="s">
        <v>33</v>
      </c>
      <c r="D70" s="294"/>
      <c r="E70" s="328"/>
      <c r="F70" s="335">
        <f>+ROUND((F69*F66*F64)/(1-F68)*F68,0)</f>
        <v>0</v>
      </c>
      <c r="G70" s="328"/>
      <c r="H70" s="332"/>
      <c r="I70" s="328"/>
      <c r="J70" s="241"/>
      <c r="K70" s="231"/>
      <c r="L70" s="231"/>
      <c r="M70" s="231"/>
      <c r="N70" s="231"/>
      <c r="O70" s="231"/>
      <c r="P70" s="231"/>
      <c r="Q70" s="231"/>
      <c r="R70" s="231"/>
      <c r="S70" s="231"/>
    </row>
    <row r="71" spans="2:19" ht="12.5">
      <c r="B71" s="328"/>
      <c r="C71" s="310" t="s">
        <v>34</v>
      </c>
      <c r="D71" s="294"/>
      <c r="E71" s="328"/>
      <c r="F71" s="331">
        <f>+F69+F70</f>
        <v>0</v>
      </c>
      <c r="G71" s="328"/>
      <c r="H71" s="332"/>
      <c r="I71" s="328"/>
      <c r="J71" s="241"/>
      <c r="K71" s="231"/>
      <c r="L71" s="231"/>
      <c r="M71" s="231"/>
      <c r="N71" s="231"/>
      <c r="O71" s="231"/>
      <c r="P71" s="231"/>
      <c r="Q71" s="231"/>
      <c r="R71" s="231"/>
      <c r="S71" s="231"/>
    </row>
    <row r="72" spans="2:19" ht="12.5">
      <c r="B72" s="231"/>
      <c r="C72" s="231"/>
      <c r="D72" s="239"/>
      <c r="E72" s="231"/>
      <c r="F72" s="231"/>
      <c r="G72" s="231"/>
      <c r="H72" s="240"/>
      <c r="I72" s="231"/>
      <c r="J72" s="241"/>
      <c r="K72" s="231"/>
      <c r="L72" s="231"/>
      <c r="M72" s="231"/>
      <c r="N72" s="231"/>
      <c r="O72" s="231"/>
      <c r="P72" s="231"/>
      <c r="Q72" s="231"/>
      <c r="R72" s="231"/>
      <c r="S72" s="231"/>
    </row>
    <row r="73" spans="2:19" ht="15.5">
      <c r="B73" s="231"/>
      <c r="C73" s="243" t="str">
        <f>"D.   Determine FCR with hypothetical "&amp;F13&amp;" basis point ROE increase."</f>
        <v>D.   Determine FCR with hypothetical 0 basis point ROE increase.</v>
      </c>
      <c r="D73" s="239"/>
      <c r="E73" s="231"/>
      <c r="F73" s="231"/>
      <c r="G73" s="231"/>
      <c r="H73" s="240"/>
      <c r="I73" s="231"/>
      <c r="J73" s="241"/>
      <c r="K73" s="231"/>
      <c r="L73" s="231"/>
      <c r="M73" s="231"/>
      <c r="N73" s="231"/>
      <c r="O73" s="231"/>
      <c r="P73" s="231"/>
      <c r="Q73" s="231"/>
      <c r="R73" s="231"/>
      <c r="S73" s="231"/>
    </row>
    <row r="74" spans="2:19" ht="12.5">
      <c r="B74" s="231"/>
      <c r="C74" s="231"/>
      <c r="D74" s="239"/>
      <c r="E74" s="231"/>
      <c r="F74" s="231"/>
      <c r="G74" s="231"/>
      <c r="H74" s="240"/>
      <c r="I74" s="231"/>
      <c r="J74" s="241"/>
      <c r="K74" s="231"/>
      <c r="L74" s="231"/>
      <c r="M74" s="231"/>
      <c r="N74" s="231"/>
      <c r="O74" s="231"/>
      <c r="P74" s="231"/>
      <c r="Q74" s="231"/>
      <c r="R74" s="231"/>
      <c r="S74" s="231"/>
    </row>
    <row r="75" spans="2:19" ht="12.5">
      <c r="B75" s="231"/>
      <c r="C75" s="246" t="str">
        <f>+S123</f>
        <v xml:space="preserve">   Net Transmission Plant  (TCOS, ln 37)</v>
      </c>
      <c r="D75" s="239"/>
      <c r="E75" s="231"/>
      <c r="F75" s="295">
        <f>+R123</f>
        <v>790589891.78982687</v>
      </c>
      <c r="G75" s="244"/>
      <c r="H75" s="216"/>
      <c r="J75" s="194"/>
      <c r="P75" s="231"/>
      <c r="Q75" s="231"/>
      <c r="R75" s="231"/>
      <c r="S75" s="231"/>
    </row>
    <row r="76" spans="2:19" ht="12.5">
      <c r="B76" s="231"/>
      <c r="C76" s="310" t="str">
        <f>"   Net Revenue Requirement, with "&amp;F13&amp;" Basis Point ROE increase"</f>
        <v xml:space="preserve">   Net Revenue Requirement, with 0 Basis Point ROE increase</v>
      </c>
      <c r="D76" s="239"/>
      <c r="E76" s="231"/>
      <c r="F76" s="336">
        <f>F55</f>
        <v>124188007.54945524</v>
      </c>
      <c r="H76" s="216"/>
      <c r="J76" s="194"/>
      <c r="P76" s="231"/>
      <c r="Q76" s="231"/>
      <c r="R76" s="231"/>
      <c r="S76" s="231"/>
    </row>
    <row r="77" spans="2:19" ht="12.5">
      <c r="B77" s="231"/>
      <c r="C77" s="310" t="str">
        <f>"   FCR with "&amp;F13&amp;" Basis Point increase in ROE"</f>
        <v xml:space="preserve">   FCR with 0 Basis Point increase in ROE</v>
      </c>
      <c r="D77" s="239"/>
      <c r="E77" s="231"/>
      <c r="F77" s="337">
        <f>IF(F75=0,0,F76/F75)</f>
        <v>0.15708271613276559</v>
      </c>
      <c r="H77" s="216"/>
      <c r="J77" s="194"/>
      <c r="P77" s="231"/>
      <c r="Q77" s="231"/>
      <c r="R77" s="231"/>
      <c r="S77" s="231"/>
    </row>
    <row r="78" spans="2:19" ht="12.5">
      <c r="B78" s="231"/>
      <c r="D78" s="239"/>
      <c r="E78" s="231"/>
      <c r="F78" s="328"/>
      <c r="H78" s="216"/>
      <c r="J78" s="194"/>
      <c r="P78" s="231"/>
      <c r="Q78" s="231"/>
      <c r="R78" s="231"/>
      <c r="S78" s="231"/>
    </row>
    <row r="79" spans="2:19" ht="12.5">
      <c r="B79" s="231"/>
      <c r="C79" s="310" t="str">
        <f>"   Net Rev. Req, w / "&amp;F13&amp;" Basis Point ROE increase, less Dep."</f>
        <v xml:space="preserve">   Net Rev. Req, w / 0 Basis Point ROE increase, less Dep.</v>
      </c>
      <c r="D79" s="239"/>
      <c r="E79" s="231"/>
      <c r="F79" s="295">
        <f>F59</f>
        <v>97907373.404770017</v>
      </c>
      <c r="G79" s="244"/>
      <c r="H79" s="216"/>
      <c r="J79" s="194"/>
      <c r="P79" s="231"/>
      <c r="Q79" s="231"/>
      <c r="R79" s="231"/>
      <c r="S79" s="231"/>
    </row>
    <row r="80" spans="2:19" ht="12.5">
      <c r="B80" s="231"/>
      <c r="C80" s="310" t="str">
        <f>"   FCR with "&amp;F13&amp;" Basis Point ROE increase, less Depreciation"</f>
        <v xml:space="preserve">   FCR with 0 Basis Point ROE increase, less Depreciation</v>
      </c>
      <c r="D80" s="239"/>
      <c r="E80" s="231"/>
      <c r="F80" s="337">
        <f>IF(F75=0,0,F79/F75)</f>
        <v>0.1238409122372109</v>
      </c>
      <c r="G80" s="337"/>
      <c r="H80" s="216"/>
      <c r="J80" s="194"/>
      <c r="P80" s="231"/>
      <c r="Q80" s="231"/>
      <c r="R80" s="231"/>
      <c r="S80" s="231"/>
    </row>
    <row r="81" spans="2:19" ht="12.5">
      <c r="B81" s="231"/>
      <c r="C81" s="246" t="str">
        <f>+S124</f>
        <v xml:space="preserve">   FCR less Depreciation  (Projected TCOS, ln 12)</v>
      </c>
      <c r="D81" s="239"/>
      <c r="E81" s="231"/>
      <c r="F81" s="338">
        <f>+R124</f>
        <v>0.11935895065679607</v>
      </c>
      <c r="H81" s="216"/>
      <c r="J81" s="194"/>
      <c r="P81" s="231"/>
      <c r="Q81" s="231"/>
      <c r="R81" s="231"/>
      <c r="S81" s="231"/>
    </row>
    <row r="82" spans="2:19" ht="12.5">
      <c r="B82" s="231"/>
      <c r="C82" s="725" t="str">
        <f>"   Incremental FCR with "&amp;F13&amp;" Basis Point ROE increase, less Depreciation"</f>
        <v xml:space="preserve">   Incremental FCR with 0 Basis Point ROE increase, less Depreciation</v>
      </c>
      <c r="D82" s="726"/>
      <c r="E82" s="726"/>
      <c r="F82" s="337">
        <f>F80-F81</f>
        <v>4.4819615804148338E-3</v>
      </c>
      <c r="H82" s="216"/>
      <c r="J82" s="194"/>
      <c r="P82" s="231"/>
      <c r="Q82" s="231"/>
      <c r="R82" s="231"/>
      <c r="S82" s="231"/>
    </row>
    <row r="83" spans="2:19" ht="12.5">
      <c r="B83" s="231"/>
      <c r="C83" s="726"/>
      <c r="D83" s="726"/>
      <c r="E83" s="726"/>
      <c r="F83" s="337"/>
      <c r="G83" s="231"/>
      <c r="H83" s="240"/>
      <c r="I83" s="231"/>
      <c r="J83" s="241"/>
      <c r="K83" s="231"/>
      <c r="L83" s="231"/>
      <c r="M83" s="231"/>
      <c r="N83" s="231"/>
      <c r="O83" s="231"/>
      <c r="P83" s="231"/>
      <c r="Q83" s="231"/>
      <c r="R83" s="231"/>
      <c r="S83" s="231"/>
    </row>
    <row r="84" spans="2:19" ht="18">
      <c r="B84" s="301" t="s">
        <v>35</v>
      </c>
      <c r="C84" s="302" t="s">
        <v>36</v>
      </c>
      <c r="D84" s="239"/>
      <c r="E84" s="231"/>
      <c r="F84" s="337"/>
      <c r="G84" s="231"/>
      <c r="H84" s="240"/>
      <c r="I84" s="231"/>
      <c r="J84" s="241"/>
      <c r="K84" s="231"/>
      <c r="L84" s="231"/>
      <c r="M84" s="231"/>
      <c r="N84" s="231"/>
      <c r="O84" s="231"/>
      <c r="P84" s="231"/>
      <c r="Q84" s="231"/>
      <c r="R84" s="231"/>
      <c r="S84" s="231"/>
    </row>
    <row r="85" spans="2:19" ht="12.75" customHeight="1">
      <c r="B85" s="301"/>
      <c r="C85" s="302"/>
      <c r="D85" s="239"/>
      <c r="E85" s="231"/>
      <c r="F85" s="337"/>
      <c r="G85" s="231"/>
      <c r="H85" s="240"/>
      <c r="I85" s="231"/>
      <c r="J85" s="241"/>
      <c r="K85" s="231"/>
      <c r="L85" s="231"/>
      <c r="M85" s="231"/>
      <c r="N85" s="231"/>
      <c r="O85" s="231"/>
      <c r="P85" s="231"/>
      <c r="Q85" s="231"/>
      <c r="R85" s="231"/>
      <c r="S85" s="231"/>
    </row>
    <row r="86" spans="2:19" ht="12.75" customHeight="1">
      <c r="B86" s="301"/>
      <c r="C86" s="310" t="s">
        <v>37</v>
      </c>
      <c r="D86" s="239"/>
      <c r="F86" s="332">
        <f>+R125</f>
        <v>1191488466.2871001</v>
      </c>
      <c r="G86" s="231" t="s">
        <v>278</v>
      </c>
      <c r="H86" s="240"/>
      <c r="I86" s="231"/>
      <c r="J86" s="241"/>
      <c r="K86" s="231"/>
      <c r="L86" s="231"/>
      <c r="M86" s="231"/>
      <c r="N86" s="231"/>
      <c r="O86" s="231"/>
      <c r="P86" s="231"/>
      <c r="Q86" s="231"/>
      <c r="R86" s="231"/>
      <c r="S86" s="231"/>
    </row>
    <row r="87" spans="2:19" ht="12.75" customHeight="1">
      <c r="B87" s="301"/>
      <c r="C87" s="310" t="s">
        <v>38</v>
      </c>
      <c r="D87" s="239"/>
      <c r="F87" s="339">
        <f>R126</f>
        <v>1249484731.0689299</v>
      </c>
      <c r="G87" s="231" t="s">
        <v>278</v>
      </c>
      <c r="H87" s="240"/>
      <c r="I87" s="231"/>
      <c r="J87" s="241"/>
      <c r="K87" s="231"/>
      <c r="L87" s="231"/>
      <c r="M87" s="231"/>
      <c r="N87" s="231"/>
      <c r="O87" s="231"/>
      <c r="P87" s="231"/>
      <c r="Q87" s="231"/>
      <c r="R87" s="231"/>
      <c r="S87" s="231"/>
    </row>
    <row r="88" spans="2:19" ht="12.5">
      <c r="B88" s="231"/>
      <c r="C88" s="310"/>
      <c r="D88" s="239"/>
      <c r="F88" s="240">
        <f>+F87+F86</f>
        <v>2440973197.35603</v>
      </c>
      <c r="G88" s="295"/>
      <c r="H88" s="240"/>
      <c r="I88" s="231"/>
      <c r="J88" s="241"/>
      <c r="K88" s="231"/>
      <c r="L88" s="231"/>
      <c r="M88" s="231"/>
      <c r="N88" s="231"/>
      <c r="O88" s="231"/>
      <c r="P88" s="231"/>
      <c r="Q88" s="231"/>
      <c r="R88" s="231"/>
      <c r="S88" s="231"/>
    </row>
    <row r="89" spans="2:19" ht="12.5">
      <c r="B89" s="231"/>
      <c r="C89" s="310" t="str">
        <f>S127</f>
        <v>Transmission Plant Average Balance for 2020</v>
      </c>
      <c r="D89" s="294"/>
      <c r="E89" s="155"/>
      <c r="F89" s="321">
        <f>+F88/2</f>
        <v>1220486598.678015</v>
      </c>
      <c r="G89" s="340"/>
      <c r="H89" s="240"/>
      <c r="I89" s="231"/>
      <c r="J89" s="241"/>
      <c r="K89" s="231"/>
      <c r="L89" s="231"/>
      <c r="M89" s="231"/>
      <c r="N89" s="231"/>
      <c r="O89" s="231"/>
      <c r="P89" s="231"/>
      <c r="Q89" s="231"/>
      <c r="R89" s="231"/>
      <c r="S89" s="231"/>
    </row>
    <row r="90" spans="2:19" ht="12.5">
      <c r="B90" s="231"/>
      <c r="C90" s="246" t="str">
        <f>S128</f>
        <v>Annual Depreciation Expense  (Historic TCOS, ln 244)</v>
      </c>
      <c r="D90" s="294"/>
      <c r="E90" s="328"/>
      <c r="F90" s="321">
        <f>R128</f>
        <v>31276848.736637831</v>
      </c>
      <c r="G90" s="231"/>
      <c r="H90" s="240"/>
      <c r="I90" s="231"/>
      <c r="J90" s="241"/>
      <c r="K90" s="231"/>
      <c r="L90" s="231"/>
      <c r="M90" s="231"/>
      <c r="N90" s="231"/>
      <c r="O90" s="231"/>
      <c r="P90" s="231"/>
      <c r="Q90" s="231"/>
      <c r="R90" s="231"/>
      <c r="S90" s="231"/>
    </row>
    <row r="91" spans="2:19" ht="12.5">
      <c r="B91" s="231"/>
      <c r="C91" s="310" t="s">
        <v>39</v>
      </c>
      <c r="D91" s="239"/>
      <c r="E91" s="231"/>
      <c r="F91" s="337">
        <f>IF(F89=0,0,F90/F89)</f>
        <v>2.5626540078781474E-2</v>
      </c>
      <c r="G91" s="231"/>
      <c r="H91" s="341"/>
      <c r="I91" s="231"/>
      <c r="J91" s="241"/>
      <c r="K91" s="231"/>
      <c r="L91" s="231"/>
      <c r="M91" s="231"/>
      <c r="N91" s="231"/>
      <c r="O91" s="231"/>
      <c r="P91" s="231"/>
      <c r="Q91" s="231"/>
      <c r="R91" s="231"/>
      <c r="S91" s="231"/>
    </row>
    <row r="92" spans="2:19" ht="12.5">
      <c r="B92" s="231"/>
      <c r="C92" s="310" t="s">
        <v>40</v>
      </c>
      <c r="D92" s="239"/>
      <c r="E92" s="231"/>
      <c r="F92" s="342">
        <f>IF(F91=0,0,1/F91)</f>
        <v>39.02204499420467</v>
      </c>
      <c r="H92" s="240"/>
      <c r="I92" s="231"/>
      <c r="J92" s="241"/>
      <c r="K92" s="231"/>
      <c r="L92" s="231"/>
      <c r="M92" s="231"/>
      <c r="N92" s="231"/>
      <c r="O92" s="231"/>
      <c r="P92" s="231"/>
      <c r="Q92" s="231"/>
      <c r="R92" s="231"/>
      <c r="S92" s="231"/>
    </row>
    <row r="93" spans="2:19" ht="12.5">
      <c r="B93" s="231"/>
      <c r="C93" s="310" t="s">
        <v>41</v>
      </c>
      <c r="D93" s="239"/>
      <c r="E93" s="231"/>
      <c r="F93" s="343">
        <f>ROUND(F92,0)</f>
        <v>39</v>
      </c>
      <c r="G93" s="231"/>
      <c r="H93" s="240"/>
      <c r="I93" s="231"/>
      <c r="J93" s="241"/>
      <c r="K93" s="231"/>
      <c r="L93" s="231"/>
      <c r="M93" s="231"/>
      <c r="N93" s="231"/>
      <c r="O93" s="231"/>
      <c r="P93" s="231"/>
      <c r="Q93" s="231"/>
      <c r="R93" s="231"/>
      <c r="S93" s="231"/>
    </row>
    <row r="94" spans="2:19" ht="12.5">
      <c r="C94" s="344"/>
      <c r="D94" s="345"/>
      <c r="E94" s="345"/>
      <c r="F94" s="345"/>
      <c r="G94" s="346"/>
      <c r="H94" s="346"/>
      <c r="I94" s="347"/>
      <c r="J94" s="347"/>
      <c r="K94" s="347"/>
      <c r="L94" s="347"/>
      <c r="M94" s="347"/>
      <c r="N94" s="347"/>
      <c r="O94" s="241"/>
      <c r="P94" s="241"/>
      <c r="Q94" s="231"/>
      <c r="R94" s="231"/>
      <c r="S94" s="231"/>
    </row>
    <row r="95" spans="2:19" ht="12.5">
      <c r="C95" s="344"/>
      <c r="D95" s="345"/>
      <c r="E95" s="345"/>
      <c r="F95" s="345"/>
      <c r="G95" s="346"/>
      <c r="H95" s="346"/>
      <c r="I95" s="347"/>
      <c r="J95" s="347"/>
      <c r="K95" s="347"/>
      <c r="L95" s="347"/>
      <c r="M95" s="347"/>
      <c r="N95" s="347"/>
      <c r="O95" s="241"/>
      <c r="P95" s="241"/>
      <c r="Q95" s="231"/>
      <c r="R95" s="231"/>
      <c r="S95" s="231"/>
    </row>
    <row r="96" spans="2:19" ht="12.5">
      <c r="J96" s="194"/>
      <c r="P96" s="231"/>
      <c r="Q96" s="231"/>
      <c r="R96" s="231"/>
      <c r="S96" s="231"/>
    </row>
    <row r="97" spans="3:19" ht="13">
      <c r="J97" s="194"/>
      <c r="P97" s="231"/>
      <c r="Q97" s="231"/>
      <c r="R97" s="348" t="s">
        <v>126</v>
      </c>
      <c r="S97" s="148" t="s">
        <v>127</v>
      </c>
    </row>
    <row r="98" spans="3:19" ht="12.5">
      <c r="J98" s="194"/>
      <c r="P98" s="231"/>
      <c r="Q98" s="231"/>
    </row>
    <row r="99" spans="3:19" ht="13">
      <c r="C99" s="238" t="s">
        <v>122</v>
      </c>
      <c r="J99" s="194"/>
      <c r="L99" s="238" t="s">
        <v>121</v>
      </c>
      <c r="P99" s="231"/>
      <c r="Q99" s="231"/>
    </row>
    <row r="100" spans="3:19" ht="12.5">
      <c r="J100" s="194"/>
      <c r="P100" s="231"/>
      <c r="Q100" s="231"/>
      <c r="S100" s="232" t="s">
        <v>119</v>
      </c>
    </row>
    <row r="101" spans="3:19" ht="13">
      <c r="J101" s="194"/>
      <c r="P101" s="231"/>
      <c r="Q101" s="231"/>
      <c r="R101" s="348" t="s">
        <v>115</v>
      </c>
      <c r="S101" s="203" t="s">
        <v>120</v>
      </c>
    </row>
    <row r="102" spans="3:19" ht="13.5" thickBot="1">
      <c r="J102" s="194"/>
      <c r="P102" s="231"/>
      <c r="Q102" s="231"/>
      <c r="R102" s="349" t="s">
        <v>142</v>
      </c>
    </row>
    <row r="103" spans="3:19" ht="12.5">
      <c r="J103" s="194"/>
      <c r="P103" s="231"/>
      <c r="Q103" s="231"/>
      <c r="R103" s="350" t="s">
        <v>284</v>
      </c>
      <c r="S103" s="351" t="s">
        <v>143</v>
      </c>
    </row>
    <row r="104" spans="3:19" ht="12.5">
      <c r="J104" s="194"/>
      <c r="P104" s="231"/>
      <c r="Q104" s="231"/>
      <c r="R104" s="352">
        <v>2023</v>
      </c>
      <c r="S104" s="353" t="s">
        <v>13</v>
      </c>
    </row>
    <row r="105" spans="3:19" ht="12.5">
      <c r="J105" s="194"/>
      <c r="P105" s="231"/>
      <c r="Q105" s="231"/>
      <c r="R105" s="354">
        <v>0.105</v>
      </c>
      <c r="S105" s="353" t="s">
        <v>307</v>
      </c>
    </row>
    <row r="106" spans="3:19" ht="12.5">
      <c r="J106" s="194"/>
      <c r="P106" s="231"/>
      <c r="Q106" s="231"/>
      <c r="R106" s="355">
        <v>0</v>
      </c>
      <c r="S106" s="353" t="s">
        <v>1</v>
      </c>
    </row>
    <row r="107" spans="3:19" ht="12.5">
      <c r="J107" s="194"/>
      <c r="P107" s="231"/>
      <c r="Q107" s="231"/>
      <c r="R107" s="356">
        <v>0.44351731865779193</v>
      </c>
      <c r="S107" s="357" t="s">
        <v>109</v>
      </c>
    </row>
    <row r="108" spans="3:19" ht="12.5">
      <c r="J108" s="194"/>
      <c r="P108" s="231"/>
      <c r="Q108" s="231"/>
      <c r="R108" s="356">
        <v>3.8900194800400766E-2</v>
      </c>
      <c r="S108" s="357" t="s">
        <v>110</v>
      </c>
    </row>
    <row r="109" spans="3:19" ht="12.5">
      <c r="J109" s="194"/>
      <c r="P109" s="231"/>
      <c r="Q109" s="231"/>
      <c r="R109" s="356">
        <v>0</v>
      </c>
      <c r="S109" s="357" t="s">
        <v>111</v>
      </c>
    </row>
    <row r="110" spans="3:19" ht="12.5">
      <c r="J110" s="194"/>
      <c r="P110" s="231"/>
      <c r="Q110" s="231"/>
      <c r="R110" s="356">
        <v>0</v>
      </c>
      <c r="S110" s="357" t="s">
        <v>112</v>
      </c>
    </row>
    <row r="111" spans="3:19" ht="12.5">
      <c r="J111" s="194"/>
      <c r="P111" s="231"/>
      <c r="Q111" s="231"/>
      <c r="R111" s="356">
        <v>0.55648268134220802</v>
      </c>
      <c r="S111" s="358" t="s">
        <v>113</v>
      </c>
    </row>
    <row r="112" spans="3:19" ht="12.5">
      <c r="J112" s="194"/>
      <c r="P112" s="231"/>
      <c r="Q112" s="231"/>
      <c r="R112" s="359">
        <v>691092852.09287727</v>
      </c>
      <c r="S112" s="360" t="s">
        <v>314</v>
      </c>
    </row>
    <row r="113" spans="3:19" ht="12.5">
      <c r="J113" s="194"/>
      <c r="P113" s="231"/>
      <c r="Q113" s="231"/>
      <c r="R113" s="361">
        <v>0.24025699999999994</v>
      </c>
      <c r="S113" s="362" t="s">
        <v>315</v>
      </c>
    </row>
    <row r="114" spans="3:19" ht="12.5">
      <c r="J114" s="194"/>
      <c r="P114" s="231"/>
      <c r="Q114" s="231"/>
      <c r="R114" s="359">
        <v>-307552.43396744458</v>
      </c>
      <c r="S114" s="362" t="s">
        <v>316</v>
      </c>
    </row>
    <row r="115" spans="3:19" ht="12.5">
      <c r="J115" s="194"/>
      <c r="P115" s="231"/>
      <c r="Q115" s="231"/>
      <c r="R115" s="359">
        <v>-2340629.3213634901</v>
      </c>
      <c r="S115" s="362" t="s">
        <v>317</v>
      </c>
    </row>
    <row r="116" spans="3:19" ht="12.5">
      <c r="J116" s="194"/>
      <c r="P116" s="231"/>
      <c r="Q116" s="231"/>
      <c r="R116" s="359">
        <v>70869.675666639887</v>
      </c>
      <c r="S116" s="362" t="s">
        <v>318</v>
      </c>
    </row>
    <row r="117" spans="3:19" ht="12.5">
      <c r="C117" s="231"/>
      <c r="D117" s="239"/>
      <c r="E117" s="231"/>
      <c r="F117" s="231"/>
      <c r="G117" s="231"/>
      <c r="H117" s="240"/>
      <c r="I117" s="231"/>
      <c r="J117" s="241"/>
      <c r="K117" s="231"/>
      <c r="L117" s="231"/>
      <c r="M117" s="231"/>
      <c r="N117" s="231"/>
      <c r="O117" s="231"/>
      <c r="P117" s="231"/>
      <c r="Q117" s="231"/>
      <c r="R117" s="359">
        <v>120644614.02858891</v>
      </c>
      <c r="S117" s="362" t="s">
        <v>319</v>
      </c>
    </row>
    <row r="118" spans="3:19" ht="12.5">
      <c r="C118" s="231"/>
      <c r="D118" s="239"/>
      <c r="E118" s="231"/>
      <c r="F118" s="231"/>
      <c r="G118" s="231"/>
      <c r="H118" s="240"/>
      <c r="I118" s="231"/>
      <c r="J118" s="241"/>
      <c r="K118" s="231"/>
      <c r="L118" s="231"/>
      <c r="M118" s="231"/>
      <c r="N118" s="231"/>
      <c r="O118" s="231"/>
      <c r="P118" s="231"/>
      <c r="Q118" s="231"/>
      <c r="R118" s="359">
        <v>52304389.199023008</v>
      </c>
      <c r="S118" s="362" t="s">
        <v>320</v>
      </c>
    </row>
    <row r="119" spans="3:19" ht="12.5">
      <c r="C119" s="231"/>
      <c r="D119" s="239"/>
      <c r="E119" s="231"/>
      <c r="F119" s="231"/>
      <c r="G119" s="231"/>
      <c r="H119" s="240"/>
      <c r="I119" s="231"/>
      <c r="J119" s="241"/>
      <c r="K119" s="231"/>
      <c r="L119" s="231"/>
      <c r="M119" s="231"/>
      <c r="N119" s="231"/>
      <c r="O119" s="231"/>
      <c r="P119" s="231"/>
      <c r="Q119" s="231"/>
      <c r="R119" s="359">
        <v>10192564.377477428</v>
      </c>
      <c r="S119" s="362" t="s">
        <v>321</v>
      </c>
    </row>
    <row r="120" spans="3:19" ht="12.5">
      <c r="C120" s="231"/>
      <c r="D120" s="239"/>
      <c r="E120" s="231"/>
      <c r="F120" s="231"/>
      <c r="G120" s="231"/>
      <c r="H120" s="240"/>
      <c r="I120" s="231"/>
      <c r="J120" s="241"/>
      <c r="K120" s="231"/>
      <c r="L120" s="231"/>
      <c r="M120" s="231"/>
      <c r="N120" s="231"/>
      <c r="O120" s="231"/>
      <c r="P120" s="231"/>
      <c r="Q120" s="231"/>
      <c r="R120" s="359">
        <v>0</v>
      </c>
      <c r="S120" s="362" t="s">
        <v>322</v>
      </c>
    </row>
    <row r="121" spans="3:19" ht="12.5">
      <c r="C121" s="231"/>
      <c r="D121" s="239"/>
      <c r="E121" s="231"/>
      <c r="F121" s="231"/>
      <c r="G121" s="231"/>
      <c r="H121" s="240"/>
      <c r="I121" s="231"/>
      <c r="J121" s="241"/>
      <c r="K121" s="231"/>
      <c r="L121" s="231"/>
      <c r="M121" s="231"/>
      <c r="N121" s="231"/>
      <c r="O121" s="231"/>
      <c r="P121" s="231"/>
      <c r="Q121" s="231"/>
      <c r="R121" s="359">
        <v>26280634.144685224</v>
      </c>
      <c r="S121" s="362" t="s">
        <v>323</v>
      </c>
    </row>
    <row r="122" spans="3:19" ht="12.5">
      <c r="C122" s="231"/>
      <c r="D122" s="239"/>
      <c r="E122" s="231"/>
      <c r="F122" s="231"/>
      <c r="G122" s="231"/>
      <c r="H122" s="240"/>
      <c r="I122" s="231"/>
      <c r="J122" s="241"/>
      <c r="K122" s="231"/>
      <c r="L122" s="231"/>
      <c r="M122" s="231"/>
      <c r="N122" s="231"/>
      <c r="O122" s="231"/>
      <c r="P122" s="231"/>
      <c r="Q122" s="231"/>
      <c r="R122" s="361">
        <v>0</v>
      </c>
      <c r="S122" s="362" t="s">
        <v>118</v>
      </c>
    </row>
    <row r="123" spans="3:19" ht="12.5">
      <c r="C123" s="231"/>
      <c r="D123" s="239"/>
      <c r="E123" s="231"/>
      <c r="F123" s="231"/>
      <c r="G123" s="231"/>
      <c r="H123" s="240"/>
      <c r="I123" s="231"/>
      <c r="J123" s="241"/>
      <c r="K123" s="231"/>
      <c r="L123" s="231"/>
      <c r="M123" s="231"/>
      <c r="N123" s="231"/>
      <c r="O123" s="231"/>
      <c r="P123" s="231"/>
      <c r="Q123" s="231"/>
      <c r="R123" s="359">
        <v>790589891.78982687</v>
      </c>
      <c r="S123" s="362" t="s">
        <v>324</v>
      </c>
    </row>
    <row r="124" spans="3:19" ht="12.5">
      <c r="C124" s="231"/>
      <c r="D124" s="239"/>
      <c r="E124" s="231"/>
      <c r="F124" s="231"/>
      <c r="G124" s="231"/>
      <c r="H124" s="240"/>
      <c r="I124" s="231"/>
      <c r="J124" s="241"/>
      <c r="K124" s="231"/>
      <c r="L124" s="231"/>
      <c r="M124" s="231"/>
      <c r="N124" s="231"/>
      <c r="O124" s="231"/>
      <c r="P124" s="231"/>
      <c r="Q124" s="231"/>
      <c r="R124" s="363">
        <v>0.11935895065679607</v>
      </c>
      <c r="S124" s="364" t="s">
        <v>285</v>
      </c>
    </row>
    <row r="125" spans="3:19" ht="12.5">
      <c r="C125" s="231"/>
      <c r="D125" s="239"/>
      <c r="E125" s="231"/>
      <c r="F125" s="231"/>
      <c r="G125" s="231"/>
      <c r="H125" s="240"/>
      <c r="I125" s="231"/>
      <c r="J125" s="241"/>
      <c r="K125" s="231"/>
      <c r="L125" s="231"/>
      <c r="M125" s="231"/>
      <c r="N125" s="231"/>
      <c r="O125" s="231"/>
      <c r="P125" s="231"/>
      <c r="Q125" s="231"/>
      <c r="R125" s="627">
        <v>1191488466.2871001</v>
      </c>
      <c r="S125" s="357" t="s">
        <v>37</v>
      </c>
    </row>
    <row r="126" spans="3:19" ht="12.5">
      <c r="C126" s="231"/>
      <c r="D126" s="239"/>
      <c r="E126" s="231"/>
      <c r="F126" s="231"/>
      <c r="G126" s="231"/>
      <c r="H126" s="240"/>
      <c r="I126" s="231"/>
      <c r="J126" s="241"/>
      <c r="K126" s="231"/>
      <c r="L126" s="231"/>
      <c r="M126" s="231"/>
      <c r="N126" s="231"/>
      <c r="O126" s="231"/>
      <c r="P126" s="231"/>
      <c r="Q126" s="231"/>
      <c r="R126" s="365">
        <v>1249484731.0689299</v>
      </c>
      <c r="S126" s="358" t="s">
        <v>38</v>
      </c>
    </row>
    <row r="127" spans="3:19" ht="12.5">
      <c r="C127" s="231"/>
      <c r="D127" s="239"/>
      <c r="E127" s="231"/>
      <c r="F127" s="231"/>
      <c r="G127" s="231"/>
      <c r="H127" s="240"/>
      <c r="I127" s="231"/>
      <c r="J127" s="241"/>
      <c r="K127" s="231"/>
      <c r="L127" s="231"/>
      <c r="M127" s="231"/>
      <c r="N127" s="231"/>
      <c r="O127" s="231"/>
      <c r="P127" s="231"/>
      <c r="Q127" s="231"/>
      <c r="R127" s="365">
        <v>1212403959.7864423</v>
      </c>
      <c r="S127" s="366" t="s">
        <v>333</v>
      </c>
    </row>
    <row r="128" spans="3:19" ht="13" thickBot="1">
      <c r="C128" s="231"/>
      <c r="D128" s="239"/>
      <c r="E128" s="231"/>
      <c r="F128" s="231"/>
      <c r="G128" s="231"/>
      <c r="H128" s="240"/>
      <c r="I128" s="231"/>
      <c r="J128" s="241"/>
      <c r="K128" s="231"/>
      <c r="L128" s="231"/>
      <c r="M128" s="231"/>
      <c r="N128" s="231"/>
      <c r="O128" s="231"/>
      <c r="P128" s="231"/>
      <c r="Q128" s="231"/>
      <c r="R128" s="367">
        <v>31276848.736637831</v>
      </c>
      <c r="S128" s="368" t="s">
        <v>308</v>
      </c>
    </row>
    <row r="129" spans="3:19" ht="12.5">
      <c r="C129" s="231"/>
      <c r="D129" s="239"/>
      <c r="E129" s="231"/>
      <c r="F129" s="231"/>
      <c r="G129" s="231"/>
      <c r="H129" s="240"/>
      <c r="I129" s="231"/>
      <c r="J129" s="241"/>
      <c r="K129" s="231"/>
      <c r="L129" s="231"/>
      <c r="M129" s="231"/>
      <c r="N129" s="231"/>
      <c r="O129" s="231"/>
      <c r="P129" s="231"/>
      <c r="Q129" s="231"/>
      <c r="R129" s="231"/>
      <c r="S129" s="231"/>
    </row>
    <row r="130" spans="3:19" ht="13">
      <c r="C130" s="231"/>
      <c r="D130" s="239"/>
      <c r="E130" s="231"/>
      <c r="F130" s="231"/>
      <c r="G130" s="231"/>
      <c r="H130" s="240"/>
      <c r="I130" s="231"/>
      <c r="J130" s="241"/>
      <c r="K130" s="231"/>
      <c r="L130" s="231"/>
      <c r="M130" s="231"/>
      <c r="N130" s="231"/>
      <c r="O130" s="231"/>
      <c r="P130" s="231"/>
      <c r="Q130" s="231"/>
      <c r="R130" s="348" t="s">
        <v>116</v>
      </c>
      <c r="S130" s="231" t="s">
        <v>130</v>
      </c>
    </row>
    <row r="131" spans="3:19" ht="13.5" thickBot="1">
      <c r="C131" s="310"/>
      <c r="D131" s="319"/>
      <c r="E131" s="310"/>
      <c r="F131" s="310"/>
      <c r="G131" s="310"/>
      <c r="H131" s="321"/>
      <c r="I131" s="231"/>
      <c r="J131" s="241"/>
      <c r="K131" s="231"/>
      <c r="L131" s="231"/>
      <c r="M131" s="231"/>
      <c r="N131" s="231"/>
      <c r="O131" s="231"/>
      <c r="P131" s="231"/>
      <c r="Q131" s="231"/>
      <c r="R131" s="349" t="s">
        <v>114</v>
      </c>
      <c r="S131" s="231"/>
    </row>
    <row r="132" spans="3:19" ht="12.5">
      <c r="C132" s="310"/>
      <c r="D132" s="319"/>
      <c r="E132" s="310"/>
      <c r="F132" s="310"/>
      <c r="G132" s="310"/>
      <c r="H132" s="321"/>
      <c r="I132" s="231"/>
      <c r="J132" s="241"/>
      <c r="K132" s="231"/>
      <c r="L132" s="231"/>
      <c r="M132" s="231"/>
      <c r="N132" s="231"/>
      <c r="O132" s="231"/>
      <c r="P132" s="231"/>
      <c r="Q132" s="231"/>
      <c r="R132" s="369">
        <v>8837545.4268044475</v>
      </c>
      <c r="S132" s="231" t="str">
        <f>+K19&amp;" "&amp;M17</f>
        <v>PROJECTED YEAR Rev Require</v>
      </c>
    </row>
    <row r="133" spans="3:19" ht="12.5">
      <c r="C133" s="310"/>
      <c r="D133" s="319"/>
      <c r="E133" s="310"/>
      <c r="F133" s="310"/>
      <c r="G133" s="310"/>
      <c r="H133" s="321"/>
      <c r="I133" s="231"/>
      <c r="J133" s="241"/>
      <c r="K133" s="231"/>
      <c r="L133" s="231"/>
      <c r="M133" s="231"/>
      <c r="N133" s="231"/>
      <c r="O133" s="231"/>
      <c r="P133" s="231"/>
      <c r="Q133" s="231"/>
      <c r="R133" s="370">
        <v>8837545.4268044475</v>
      </c>
      <c r="S133" s="231" t="str">
        <f>K19&amp;" "&amp;N17</f>
        <v>PROJECTED YEAR  W Incentives</v>
      </c>
    </row>
    <row r="134" spans="3:19" ht="13" thickBot="1">
      <c r="C134" s="310"/>
      <c r="D134" s="319"/>
      <c r="E134" s="310"/>
      <c r="F134" s="310"/>
      <c r="G134" s="310"/>
      <c r="H134" s="321"/>
      <c r="I134" s="231"/>
      <c r="J134" s="241"/>
      <c r="K134" s="231"/>
      <c r="L134" s="231"/>
      <c r="M134" s="231"/>
      <c r="N134" s="231"/>
      <c r="O134" s="231"/>
      <c r="P134" s="231"/>
      <c r="Q134" s="231"/>
      <c r="R134" s="371">
        <f>+O19</f>
        <v>0</v>
      </c>
      <c r="S134" s="231" t="str">
        <f>K19&amp;" "&amp;O17</f>
        <v>PROJECTED YEAR Incentive Amounts</v>
      </c>
    </row>
    <row r="135" spans="3:19" ht="12.5">
      <c r="C135" s="310"/>
      <c r="D135" s="319"/>
      <c r="E135" s="310"/>
      <c r="F135" s="310"/>
      <c r="G135" s="310"/>
      <c r="H135" s="321"/>
      <c r="I135" s="231"/>
      <c r="J135" s="241"/>
      <c r="K135" s="231"/>
      <c r="L135" s="231"/>
      <c r="M135" s="231"/>
      <c r="N135" s="231"/>
      <c r="O135" s="231"/>
      <c r="P135" s="231"/>
      <c r="Q135" s="231"/>
      <c r="R135" s="231"/>
      <c r="S135" s="231"/>
    </row>
    <row r="136" spans="3:19" ht="12.75" customHeight="1">
      <c r="R136" s="231"/>
      <c r="S136" s="231"/>
    </row>
    <row r="137" spans="3:19" ht="12.75" customHeight="1">
      <c r="R137" s="348" t="s">
        <v>128</v>
      </c>
      <c r="S137" s="232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6"/>
  <dimension ref="A1:P162"/>
  <sheetViews>
    <sheetView topLeftCell="A66" zoomScaleNormal="100" zoomScaleSheetLayoutView="80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17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207843.2094871795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207843.2094871795</v>
      </c>
      <c r="O6" s="231"/>
      <c r="P6" s="231"/>
    </row>
    <row r="7" spans="1:16" ht="13.5" thickBot="1">
      <c r="C7" s="429" t="s">
        <v>46</v>
      </c>
      <c r="D7" s="597" t="s">
        <v>262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286</v>
      </c>
      <c r="E9" s="575" t="s">
        <v>287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1692023.1700000002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2015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43385.209487179491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2015</v>
      </c>
      <c r="D17" s="582">
        <v>1500000</v>
      </c>
      <c r="E17" s="605">
        <v>0</v>
      </c>
      <c r="F17" s="582">
        <v>1500000</v>
      </c>
      <c r="G17" s="605">
        <v>206807.48514960654</v>
      </c>
      <c r="H17" s="585">
        <v>206807.48514960654</v>
      </c>
      <c r="I17" s="473">
        <v>0</v>
      </c>
      <c r="J17" s="473"/>
      <c r="K17" s="474">
        <f t="shared" ref="K17:K22" si="0">G17</f>
        <v>206807.48514960654</v>
      </c>
      <c r="L17" s="601">
        <f t="shared" ref="L17:L22" si="1">IF(K17&lt;&gt;0,+G17-K17,0)</f>
        <v>0</v>
      </c>
      <c r="M17" s="474">
        <f t="shared" ref="M17:M22" si="2">H17</f>
        <v>206807.48514960654</v>
      </c>
      <c r="N17" s="476">
        <f>IF(M17&lt;&gt;0,+H17-M17,0)</f>
        <v>0</v>
      </c>
      <c r="O17" s="473">
        <f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2016</v>
      </c>
      <c r="D18" s="582">
        <v>1777912</v>
      </c>
      <c r="E18" s="583">
        <v>34190.615384615383</v>
      </c>
      <c r="F18" s="582">
        <v>1743721.3846153845</v>
      </c>
      <c r="G18" s="583">
        <v>262896.61538461538</v>
      </c>
      <c r="H18" s="585">
        <v>262896.61538461538</v>
      </c>
      <c r="I18" s="473">
        <f>H18-G18</f>
        <v>0</v>
      </c>
      <c r="J18" s="473"/>
      <c r="K18" s="474">
        <f t="shared" si="0"/>
        <v>262896.61538461538</v>
      </c>
      <c r="L18" s="601">
        <f t="shared" si="1"/>
        <v>0</v>
      </c>
      <c r="M18" s="474">
        <f t="shared" si="2"/>
        <v>262896.61538461538</v>
      </c>
      <c r="N18" s="476">
        <f>IF(M18&lt;&gt;0,+H18-M18,0)</f>
        <v>0</v>
      </c>
      <c r="O18" s="473">
        <f>+N18-L18</f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2017</v>
      </c>
      <c r="D19" s="582">
        <v>1657832.3846153845</v>
      </c>
      <c r="E19" s="583">
        <v>36783.108695652176</v>
      </c>
      <c r="F19" s="582">
        <v>1621049.2759197324</v>
      </c>
      <c r="G19" s="583">
        <v>243079.10869565216</v>
      </c>
      <c r="H19" s="585">
        <v>243079.10869565216</v>
      </c>
      <c r="I19" s="473">
        <f t="shared" ref="I19:I72" si="3">H19-G19</f>
        <v>0</v>
      </c>
      <c r="J19" s="473"/>
      <c r="K19" s="474">
        <f t="shared" si="0"/>
        <v>243079.10869565216</v>
      </c>
      <c r="L19" s="601">
        <f t="shared" si="1"/>
        <v>0</v>
      </c>
      <c r="M19" s="474">
        <f t="shared" si="2"/>
        <v>243079.10869565216</v>
      </c>
      <c r="N19" s="476">
        <f>IF(M19&lt;&gt;0,+H19-M19,0)</f>
        <v>0</v>
      </c>
      <c r="O19" s="473">
        <f>+N19-L19</f>
        <v>0</v>
      </c>
      <c r="P19" s="241"/>
    </row>
    <row r="20" spans="2:16" ht="12.5">
      <c r="B20" s="160" t="str">
        <f t="shared" ref="B20:B72" si="4">IF(D20=F19,"","IU")</f>
        <v/>
      </c>
      <c r="C20" s="470">
        <f>IF(D11="","-",+C19+1)</f>
        <v>2018</v>
      </c>
      <c r="D20" s="582">
        <v>1621049.2759197324</v>
      </c>
      <c r="E20" s="583">
        <v>37600.511111111111</v>
      </c>
      <c r="F20" s="582">
        <v>1583448.7648086213</v>
      </c>
      <c r="G20" s="583">
        <v>229484.15653998824</v>
      </c>
      <c r="H20" s="585">
        <v>229484.15653998824</v>
      </c>
      <c r="I20" s="473">
        <f t="shared" si="3"/>
        <v>0</v>
      </c>
      <c r="J20" s="473"/>
      <c r="K20" s="474">
        <f t="shared" si="0"/>
        <v>229484.15653998824</v>
      </c>
      <c r="L20" s="601">
        <f t="shared" si="1"/>
        <v>0</v>
      </c>
      <c r="M20" s="474">
        <f t="shared" si="2"/>
        <v>229484.15653998824</v>
      </c>
      <c r="N20" s="476">
        <f>IF(M20&lt;&gt;0,+H20-M20,0)</f>
        <v>0</v>
      </c>
      <c r="O20" s="473">
        <f>+N20-L20</f>
        <v>0</v>
      </c>
      <c r="P20" s="241"/>
    </row>
    <row r="21" spans="2:16" ht="12.5">
      <c r="B21" s="160" t="str">
        <f t="shared" si="4"/>
        <v/>
      </c>
      <c r="C21" s="470">
        <f>IF(D11="","-",+C20+1)</f>
        <v>2019</v>
      </c>
      <c r="D21" s="582">
        <v>1583448.7648086213</v>
      </c>
      <c r="E21" s="583">
        <v>42300.574999999997</v>
      </c>
      <c r="F21" s="582">
        <v>1541148.1898086213</v>
      </c>
      <c r="G21" s="583">
        <v>216741.56005757477</v>
      </c>
      <c r="H21" s="585">
        <v>216741.56005757477</v>
      </c>
      <c r="I21" s="473">
        <f t="shared" si="3"/>
        <v>0</v>
      </c>
      <c r="J21" s="473"/>
      <c r="K21" s="474">
        <f t="shared" si="0"/>
        <v>216741.56005757477</v>
      </c>
      <c r="L21" s="601">
        <f t="shared" si="1"/>
        <v>0</v>
      </c>
      <c r="M21" s="474">
        <f t="shared" si="2"/>
        <v>216741.56005757477</v>
      </c>
      <c r="N21" s="476">
        <f t="shared" ref="N21:N72" si="5">IF(M21&lt;&gt;0,+H21-M21,0)</f>
        <v>0</v>
      </c>
      <c r="O21" s="476">
        <f t="shared" ref="O21:O72" si="6">+N21-L21</f>
        <v>0</v>
      </c>
      <c r="P21" s="241"/>
    </row>
    <row r="22" spans="2:16" ht="12.5">
      <c r="B22" s="160" t="str">
        <f t="shared" si="4"/>
        <v>IU</v>
      </c>
      <c r="C22" s="470">
        <f>IF(D11="","-",+C21+1)</f>
        <v>2020</v>
      </c>
      <c r="D22" s="582">
        <v>1545848.2536975101</v>
      </c>
      <c r="E22" s="583">
        <v>40286.261904761908</v>
      </c>
      <c r="F22" s="582">
        <v>1505561.9917927482</v>
      </c>
      <c r="G22" s="583">
        <v>205069.7033172223</v>
      </c>
      <c r="H22" s="585">
        <v>205069.7033172223</v>
      </c>
      <c r="I22" s="473">
        <f t="shared" si="3"/>
        <v>0</v>
      </c>
      <c r="J22" s="473"/>
      <c r="K22" s="474">
        <f t="shared" si="0"/>
        <v>205069.7033172223</v>
      </c>
      <c r="L22" s="601">
        <f t="shared" si="1"/>
        <v>0</v>
      </c>
      <c r="M22" s="474">
        <f t="shared" si="2"/>
        <v>205069.7033172223</v>
      </c>
      <c r="N22" s="476">
        <f t="shared" si="5"/>
        <v>0</v>
      </c>
      <c r="O22" s="476">
        <f t="shared" si="6"/>
        <v>0</v>
      </c>
      <c r="P22" s="241"/>
    </row>
    <row r="23" spans="2:16" ht="12.5">
      <c r="B23" s="160" t="str">
        <f t="shared" si="4"/>
        <v>IU</v>
      </c>
      <c r="C23" s="470">
        <f>IF(D11="","-",+C22+1)</f>
        <v>2021</v>
      </c>
      <c r="D23" s="582">
        <v>1500861.9279038594</v>
      </c>
      <c r="E23" s="583">
        <v>39349.372093023259</v>
      </c>
      <c r="F23" s="582">
        <v>1461512.5558108361</v>
      </c>
      <c r="G23" s="583">
        <v>196932.37209302327</v>
      </c>
      <c r="H23" s="585">
        <v>196932.37209302327</v>
      </c>
      <c r="I23" s="473">
        <f t="shared" si="3"/>
        <v>0</v>
      </c>
      <c r="J23" s="473"/>
      <c r="K23" s="474">
        <f t="shared" ref="K23" si="7">G23</f>
        <v>196932.37209302327</v>
      </c>
      <c r="L23" s="601">
        <f t="shared" ref="L23" si="8">IF(K23&lt;&gt;0,+G23-K23,0)</f>
        <v>0</v>
      </c>
      <c r="M23" s="474">
        <f t="shared" ref="M23" si="9">H23</f>
        <v>196932.37209302327</v>
      </c>
      <c r="N23" s="476">
        <f t="shared" si="5"/>
        <v>0</v>
      </c>
      <c r="O23" s="476">
        <f t="shared" si="6"/>
        <v>0</v>
      </c>
      <c r="P23" s="241"/>
    </row>
    <row r="24" spans="2:16" ht="12.5">
      <c r="B24" s="160" t="str">
        <f t="shared" si="4"/>
        <v/>
      </c>
      <c r="C24" s="470">
        <f>IF(D11="","-",+C23+1)</f>
        <v>2022</v>
      </c>
      <c r="D24" s="582">
        <v>1461512.5558108361</v>
      </c>
      <c r="E24" s="583">
        <v>40286.261904761908</v>
      </c>
      <c r="F24" s="582">
        <v>1421226.2939060743</v>
      </c>
      <c r="G24" s="583">
        <v>193510.26190476189</v>
      </c>
      <c r="H24" s="585">
        <v>193510.26190476189</v>
      </c>
      <c r="I24" s="473">
        <f t="shared" si="3"/>
        <v>0</v>
      </c>
      <c r="J24" s="473"/>
      <c r="K24" s="474">
        <f t="shared" ref="K24" si="10">G24</f>
        <v>193510.26190476189</v>
      </c>
      <c r="L24" s="601">
        <f t="shared" ref="L24" si="11">IF(K24&lt;&gt;0,+G24-K24,0)</f>
        <v>0</v>
      </c>
      <c r="M24" s="474">
        <f t="shared" ref="M24" si="12">H24</f>
        <v>193510.26190476189</v>
      </c>
      <c r="N24" s="476">
        <f t="shared" si="5"/>
        <v>0</v>
      </c>
      <c r="O24" s="476">
        <f t="shared" si="6"/>
        <v>0</v>
      </c>
      <c r="P24" s="241"/>
    </row>
    <row r="25" spans="2:16" ht="12.5">
      <c r="B25" s="160" t="str">
        <f t="shared" si="4"/>
        <v>IU</v>
      </c>
      <c r="C25" s="470">
        <f>IF(D11="","-",+C24+1)</f>
        <v>2023</v>
      </c>
      <c r="D25" s="582">
        <v>1421226.4639060744</v>
      </c>
      <c r="E25" s="583">
        <v>43385.209487179491</v>
      </c>
      <c r="F25" s="582">
        <v>1377841.2544188949</v>
      </c>
      <c r="G25" s="583">
        <v>207843.2094871795</v>
      </c>
      <c r="H25" s="585">
        <v>207843.2094871795</v>
      </c>
      <c r="I25" s="473">
        <f t="shared" si="3"/>
        <v>0</v>
      </c>
      <c r="J25" s="473"/>
      <c r="K25" s="474">
        <f t="shared" ref="K25" si="13">G25</f>
        <v>207843.2094871795</v>
      </c>
      <c r="L25" s="601">
        <f t="shared" ref="L25" si="14">IF(K25&lt;&gt;0,+G25-K25,0)</f>
        <v>0</v>
      </c>
      <c r="M25" s="474">
        <f t="shared" ref="M25" si="15">H25</f>
        <v>207843.2094871795</v>
      </c>
      <c r="N25" s="476">
        <f t="shared" si="5"/>
        <v>0</v>
      </c>
      <c r="O25" s="476">
        <f t="shared" si="6"/>
        <v>0</v>
      </c>
      <c r="P25" s="241"/>
    </row>
    <row r="26" spans="2:16" ht="12.5">
      <c r="B26" s="160" t="str">
        <f t="shared" si="4"/>
        <v/>
      </c>
      <c r="C26" s="470">
        <f>IF(D11="","-",+C25+1)</f>
        <v>2024</v>
      </c>
      <c r="D26" s="483">
        <f>IF(F25+SUM(E$17:E25)=D$10,F25,D$10-SUM(E$17:E25))</f>
        <v>1377841.2544188949</v>
      </c>
      <c r="E26" s="482">
        <f t="shared" ref="E26:E72" si="16">IF(+$I$14&lt;F25,$I$14,D26)</f>
        <v>43385.209487179491</v>
      </c>
      <c r="F26" s="483">
        <f t="shared" ref="F26:F72" si="17">+D26-E26</f>
        <v>1334456.0449317154</v>
      </c>
      <c r="G26" s="484">
        <f t="shared" ref="G26:G72" si="18">(D26+F26)/2*I$12+E26</f>
        <v>205253.68924705483</v>
      </c>
      <c r="H26" s="453">
        <f t="shared" ref="H26:H72" si="19">+(D26+F26)/2*I$13+E26</f>
        <v>205253.68924705483</v>
      </c>
      <c r="I26" s="473">
        <f t="shared" si="3"/>
        <v>0</v>
      </c>
      <c r="J26" s="473"/>
      <c r="K26" s="485"/>
      <c r="L26" s="476">
        <f t="shared" ref="L26:L72" si="20">IF(K26&lt;&gt;0,+G26-K26,0)</f>
        <v>0</v>
      </c>
      <c r="M26" s="485"/>
      <c r="N26" s="476">
        <f t="shared" si="5"/>
        <v>0</v>
      </c>
      <c r="O26" s="476">
        <f t="shared" si="6"/>
        <v>0</v>
      </c>
      <c r="P26" s="241"/>
    </row>
    <row r="27" spans="2:16" ht="12.5">
      <c r="B27" s="160" t="str">
        <f t="shared" si="4"/>
        <v/>
      </c>
      <c r="C27" s="470">
        <f>IF(D11="","-",+C26+1)</f>
        <v>2025</v>
      </c>
      <c r="D27" s="483">
        <f>IF(F26+SUM(E$17:E26)=D$10,F26,D$10-SUM(E$17:E26))</f>
        <v>1334456.0449317154</v>
      </c>
      <c r="E27" s="482">
        <f t="shared" si="16"/>
        <v>43385.209487179491</v>
      </c>
      <c r="F27" s="483">
        <f t="shared" si="17"/>
        <v>1291070.8354445358</v>
      </c>
      <c r="G27" s="484">
        <f t="shared" si="18"/>
        <v>200075.27616863986</v>
      </c>
      <c r="H27" s="453">
        <f t="shared" si="19"/>
        <v>200075.27616863986</v>
      </c>
      <c r="I27" s="473">
        <f t="shared" si="3"/>
        <v>0</v>
      </c>
      <c r="J27" s="473"/>
      <c r="K27" s="485"/>
      <c r="L27" s="476">
        <f t="shared" si="20"/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 ht="12.5">
      <c r="B28" s="160" t="str">
        <f t="shared" si="4"/>
        <v/>
      </c>
      <c r="C28" s="470">
        <f>IF(D11="","-",+C27+1)</f>
        <v>2026</v>
      </c>
      <c r="D28" s="483">
        <f>IF(F27+SUM(E$17:E27)=D$10,F27,D$10-SUM(E$17:E27))</f>
        <v>1291070.8354445358</v>
      </c>
      <c r="E28" s="482">
        <f t="shared" si="16"/>
        <v>43385.209487179491</v>
      </c>
      <c r="F28" s="483">
        <f t="shared" si="17"/>
        <v>1247685.6259573563</v>
      </c>
      <c r="G28" s="484">
        <f t="shared" si="18"/>
        <v>194896.8630902248</v>
      </c>
      <c r="H28" s="453">
        <f t="shared" si="19"/>
        <v>194896.8630902248</v>
      </c>
      <c r="I28" s="473">
        <f t="shared" si="3"/>
        <v>0</v>
      </c>
      <c r="J28" s="473"/>
      <c r="K28" s="485"/>
      <c r="L28" s="476">
        <f t="shared" si="20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 ht="12.5">
      <c r="B29" s="160" t="str">
        <f t="shared" si="4"/>
        <v/>
      </c>
      <c r="C29" s="470">
        <f>IF(D11="","-",+C28+1)</f>
        <v>2027</v>
      </c>
      <c r="D29" s="483">
        <f>IF(F28+SUM(E$17:E28)=D$10,F28,D$10-SUM(E$17:E28))</f>
        <v>1247685.6259573563</v>
      </c>
      <c r="E29" s="482">
        <f t="shared" si="16"/>
        <v>43385.209487179491</v>
      </c>
      <c r="F29" s="483">
        <f t="shared" si="17"/>
        <v>1204300.4164701768</v>
      </c>
      <c r="G29" s="484">
        <f t="shared" si="18"/>
        <v>189718.45001180979</v>
      </c>
      <c r="H29" s="453">
        <f t="shared" si="19"/>
        <v>189718.45001180979</v>
      </c>
      <c r="I29" s="473">
        <f t="shared" si="3"/>
        <v>0</v>
      </c>
      <c r="J29" s="473"/>
      <c r="K29" s="485"/>
      <c r="L29" s="476">
        <f t="shared" si="20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 ht="12.5">
      <c r="B30" s="160" t="str">
        <f t="shared" si="4"/>
        <v/>
      </c>
      <c r="C30" s="470">
        <f>IF(D11="","-",+C29+1)</f>
        <v>2028</v>
      </c>
      <c r="D30" s="483">
        <f>IF(F29+SUM(E$17:E29)=D$10,F29,D$10-SUM(E$17:E29))</f>
        <v>1204300.4164701768</v>
      </c>
      <c r="E30" s="482">
        <f t="shared" si="16"/>
        <v>43385.209487179491</v>
      </c>
      <c r="F30" s="483">
        <f t="shared" si="17"/>
        <v>1160915.2069829972</v>
      </c>
      <c r="G30" s="484">
        <f t="shared" si="18"/>
        <v>184540.03693339476</v>
      </c>
      <c r="H30" s="453">
        <f t="shared" si="19"/>
        <v>184540.03693339476</v>
      </c>
      <c r="I30" s="473">
        <f t="shared" si="3"/>
        <v>0</v>
      </c>
      <c r="J30" s="473"/>
      <c r="K30" s="485"/>
      <c r="L30" s="476">
        <f t="shared" si="20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 ht="12.5">
      <c r="B31" s="160" t="str">
        <f t="shared" si="4"/>
        <v/>
      </c>
      <c r="C31" s="470">
        <f>IF(D11="","-",+C30+1)</f>
        <v>2029</v>
      </c>
      <c r="D31" s="483">
        <f>IF(F30+SUM(E$17:E30)=D$10,F30,D$10-SUM(E$17:E30))</f>
        <v>1160915.2069829972</v>
      </c>
      <c r="E31" s="482">
        <f t="shared" si="16"/>
        <v>43385.209487179491</v>
      </c>
      <c r="F31" s="483">
        <f t="shared" si="17"/>
        <v>1117529.9974958177</v>
      </c>
      <c r="G31" s="484">
        <f t="shared" si="18"/>
        <v>179361.62385497976</v>
      </c>
      <c r="H31" s="453">
        <f t="shared" si="19"/>
        <v>179361.62385497976</v>
      </c>
      <c r="I31" s="473">
        <f t="shared" si="3"/>
        <v>0</v>
      </c>
      <c r="J31" s="473"/>
      <c r="K31" s="485"/>
      <c r="L31" s="476">
        <f t="shared" si="20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 ht="12.5">
      <c r="B32" s="160" t="str">
        <f t="shared" si="4"/>
        <v/>
      </c>
      <c r="C32" s="470">
        <f>IF(D11="","-",+C31+1)</f>
        <v>2030</v>
      </c>
      <c r="D32" s="483">
        <f>IF(F31+SUM(E$17:E31)=D$10,F31,D$10-SUM(E$17:E31))</f>
        <v>1117529.9974958177</v>
      </c>
      <c r="E32" s="482">
        <f t="shared" si="16"/>
        <v>43385.209487179491</v>
      </c>
      <c r="F32" s="483">
        <f t="shared" si="17"/>
        <v>1074144.7880086382</v>
      </c>
      <c r="G32" s="484">
        <f t="shared" si="18"/>
        <v>174183.21077656469</v>
      </c>
      <c r="H32" s="453">
        <f t="shared" si="19"/>
        <v>174183.21077656469</v>
      </c>
      <c r="I32" s="473">
        <f t="shared" si="3"/>
        <v>0</v>
      </c>
      <c r="J32" s="473"/>
      <c r="K32" s="485"/>
      <c r="L32" s="476">
        <f t="shared" si="20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 ht="12.5">
      <c r="B33" s="160" t="str">
        <f t="shared" si="4"/>
        <v/>
      </c>
      <c r="C33" s="470">
        <f>IF(D11="","-",+C32+1)</f>
        <v>2031</v>
      </c>
      <c r="D33" s="483">
        <f>IF(F32+SUM(E$17:E32)=D$10,F32,D$10-SUM(E$17:E32))</f>
        <v>1074144.7880086382</v>
      </c>
      <c r="E33" s="482">
        <f t="shared" si="16"/>
        <v>43385.209487179491</v>
      </c>
      <c r="F33" s="483">
        <f t="shared" si="17"/>
        <v>1030759.5785214587</v>
      </c>
      <c r="G33" s="484">
        <f t="shared" si="18"/>
        <v>169004.79769814972</v>
      </c>
      <c r="H33" s="453">
        <f t="shared" si="19"/>
        <v>169004.79769814972</v>
      </c>
      <c r="I33" s="473">
        <f t="shared" si="3"/>
        <v>0</v>
      </c>
      <c r="J33" s="473"/>
      <c r="K33" s="485"/>
      <c r="L33" s="476">
        <f t="shared" si="20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 ht="12.5">
      <c r="B34" s="160" t="str">
        <f t="shared" si="4"/>
        <v/>
      </c>
      <c r="C34" s="470">
        <f>IF(D11="","-",+C33+1)</f>
        <v>2032</v>
      </c>
      <c r="D34" s="483">
        <f>IF(F33+SUM(E$17:E33)=D$10,F33,D$10-SUM(E$17:E33))</f>
        <v>1030759.5785214587</v>
      </c>
      <c r="E34" s="482">
        <f t="shared" si="16"/>
        <v>43385.209487179491</v>
      </c>
      <c r="F34" s="483">
        <f t="shared" si="17"/>
        <v>987374.36903427914</v>
      </c>
      <c r="G34" s="484">
        <f t="shared" si="18"/>
        <v>163826.38461973469</v>
      </c>
      <c r="H34" s="453">
        <f t="shared" si="19"/>
        <v>163826.38461973469</v>
      </c>
      <c r="I34" s="473">
        <f t="shared" si="3"/>
        <v>0</v>
      </c>
      <c r="J34" s="473"/>
      <c r="K34" s="485"/>
      <c r="L34" s="476">
        <f t="shared" si="20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 ht="12.5">
      <c r="B35" s="160" t="str">
        <f t="shared" si="4"/>
        <v/>
      </c>
      <c r="C35" s="470">
        <f>IF(D11="","-",+C34+1)</f>
        <v>2033</v>
      </c>
      <c r="D35" s="483">
        <f>IF(F34+SUM(E$17:E34)=D$10,F34,D$10-SUM(E$17:E34))</f>
        <v>987374.36903427914</v>
      </c>
      <c r="E35" s="482">
        <f t="shared" si="16"/>
        <v>43385.209487179491</v>
      </c>
      <c r="F35" s="483">
        <f t="shared" si="17"/>
        <v>943989.15954709961</v>
      </c>
      <c r="G35" s="484">
        <f t="shared" si="18"/>
        <v>158647.97154131965</v>
      </c>
      <c r="H35" s="453">
        <f t="shared" si="19"/>
        <v>158647.97154131965</v>
      </c>
      <c r="I35" s="473">
        <f t="shared" si="3"/>
        <v>0</v>
      </c>
      <c r="J35" s="473"/>
      <c r="K35" s="485"/>
      <c r="L35" s="476">
        <f t="shared" si="20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 ht="12.5">
      <c r="B36" s="160" t="str">
        <f t="shared" si="4"/>
        <v/>
      </c>
      <c r="C36" s="470">
        <f>IF(D11="","-",+C35+1)</f>
        <v>2034</v>
      </c>
      <c r="D36" s="483">
        <f>IF(F35+SUM(E$17:E35)=D$10,F35,D$10-SUM(E$17:E35))</f>
        <v>943989.15954709961</v>
      </c>
      <c r="E36" s="482">
        <f t="shared" si="16"/>
        <v>43385.209487179491</v>
      </c>
      <c r="F36" s="483">
        <f t="shared" si="17"/>
        <v>900603.95005992008</v>
      </c>
      <c r="G36" s="484">
        <f t="shared" si="18"/>
        <v>153469.55846290462</v>
      </c>
      <c r="H36" s="453">
        <f t="shared" si="19"/>
        <v>153469.55846290462</v>
      </c>
      <c r="I36" s="473">
        <f t="shared" si="3"/>
        <v>0</v>
      </c>
      <c r="J36" s="473"/>
      <c r="K36" s="485"/>
      <c r="L36" s="476">
        <f t="shared" si="20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 ht="12.5">
      <c r="B37" s="160" t="str">
        <f t="shared" si="4"/>
        <v/>
      </c>
      <c r="C37" s="470">
        <f>IF(D11="","-",+C36+1)</f>
        <v>2035</v>
      </c>
      <c r="D37" s="483">
        <f>IF(F36+SUM(E$17:E36)=D$10,F36,D$10-SUM(E$17:E36))</f>
        <v>900603.95005992008</v>
      </c>
      <c r="E37" s="482">
        <f t="shared" si="16"/>
        <v>43385.209487179491</v>
      </c>
      <c r="F37" s="483">
        <f t="shared" si="17"/>
        <v>857218.74057274056</v>
      </c>
      <c r="G37" s="484">
        <f t="shared" si="18"/>
        <v>148291.14538448962</v>
      </c>
      <c r="H37" s="453">
        <f t="shared" si="19"/>
        <v>148291.14538448962</v>
      </c>
      <c r="I37" s="473">
        <f t="shared" si="3"/>
        <v>0</v>
      </c>
      <c r="J37" s="473"/>
      <c r="K37" s="485"/>
      <c r="L37" s="476">
        <f t="shared" si="20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 ht="12.5">
      <c r="B38" s="160" t="str">
        <f t="shared" si="4"/>
        <v/>
      </c>
      <c r="C38" s="470">
        <f>IF(D11="","-",+C37+1)</f>
        <v>2036</v>
      </c>
      <c r="D38" s="483">
        <f>IF(F37+SUM(E$17:E37)=D$10,F37,D$10-SUM(E$17:E37))</f>
        <v>857218.74057274056</v>
      </c>
      <c r="E38" s="482">
        <f t="shared" si="16"/>
        <v>43385.209487179491</v>
      </c>
      <c r="F38" s="483">
        <f t="shared" si="17"/>
        <v>813833.53108556103</v>
      </c>
      <c r="G38" s="484">
        <f t="shared" si="18"/>
        <v>143112.73230607458</v>
      </c>
      <c r="H38" s="453">
        <f t="shared" si="19"/>
        <v>143112.73230607458</v>
      </c>
      <c r="I38" s="473">
        <f t="shared" si="3"/>
        <v>0</v>
      </c>
      <c r="J38" s="473"/>
      <c r="K38" s="485"/>
      <c r="L38" s="476">
        <f t="shared" si="20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 ht="12.5">
      <c r="B39" s="160" t="str">
        <f t="shared" si="4"/>
        <v/>
      </c>
      <c r="C39" s="470">
        <f>IF(D11="","-",+C38+1)</f>
        <v>2037</v>
      </c>
      <c r="D39" s="483">
        <f>IF(F38+SUM(E$17:E38)=D$10,F38,D$10-SUM(E$17:E38))</f>
        <v>813833.53108556103</v>
      </c>
      <c r="E39" s="482">
        <f t="shared" si="16"/>
        <v>43385.209487179491</v>
      </c>
      <c r="F39" s="483">
        <f t="shared" si="17"/>
        <v>770448.3215983815</v>
      </c>
      <c r="G39" s="484">
        <f t="shared" si="18"/>
        <v>137934.31922765958</v>
      </c>
      <c r="H39" s="453">
        <f t="shared" si="19"/>
        <v>137934.31922765958</v>
      </c>
      <c r="I39" s="473">
        <f t="shared" si="3"/>
        <v>0</v>
      </c>
      <c r="J39" s="473"/>
      <c r="K39" s="485"/>
      <c r="L39" s="476">
        <f t="shared" si="20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 ht="12.5">
      <c r="B40" s="160" t="str">
        <f t="shared" si="4"/>
        <v/>
      </c>
      <c r="C40" s="470">
        <f>IF(D11="","-",+C39+1)</f>
        <v>2038</v>
      </c>
      <c r="D40" s="483">
        <f>IF(F39+SUM(E$17:E39)=D$10,F39,D$10-SUM(E$17:E39))</f>
        <v>770448.3215983815</v>
      </c>
      <c r="E40" s="482">
        <f t="shared" si="16"/>
        <v>43385.209487179491</v>
      </c>
      <c r="F40" s="483">
        <f t="shared" si="17"/>
        <v>727063.11211120198</v>
      </c>
      <c r="G40" s="484">
        <f t="shared" si="18"/>
        <v>132755.90614924455</v>
      </c>
      <c r="H40" s="453">
        <f t="shared" si="19"/>
        <v>132755.90614924455</v>
      </c>
      <c r="I40" s="473">
        <f t="shared" si="3"/>
        <v>0</v>
      </c>
      <c r="J40" s="473"/>
      <c r="K40" s="485"/>
      <c r="L40" s="476">
        <f t="shared" si="20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 ht="12.5">
      <c r="B41" s="160" t="str">
        <f t="shared" si="4"/>
        <v/>
      </c>
      <c r="C41" s="470">
        <f>IF(D11="","-",+C40+1)</f>
        <v>2039</v>
      </c>
      <c r="D41" s="483">
        <f>IF(F40+SUM(E$17:E40)=D$10,F40,D$10-SUM(E$17:E40))</f>
        <v>727063.11211120198</v>
      </c>
      <c r="E41" s="482">
        <f t="shared" si="16"/>
        <v>43385.209487179491</v>
      </c>
      <c r="F41" s="483">
        <f t="shared" si="17"/>
        <v>683677.90262402245</v>
      </c>
      <c r="G41" s="484">
        <f t="shared" si="18"/>
        <v>127577.49307082951</v>
      </c>
      <c r="H41" s="453">
        <f t="shared" si="19"/>
        <v>127577.49307082951</v>
      </c>
      <c r="I41" s="473">
        <f t="shared" si="3"/>
        <v>0</v>
      </c>
      <c r="J41" s="473"/>
      <c r="K41" s="485"/>
      <c r="L41" s="476">
        <f t="shared" si="20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 ht="12.5">
      <c r="B42" s="160" t="str">
        <f t="shared" si="4"/>
        <v/>
      </c>
      <c r="C42" s="470">
        <f>IF(D11="","-",+C41+1)</f>
        <v>2040</v>
      </c>
      <c r="D42" s="483">
        <f>IF(F41+SUM(E$17:E41)=D$10,F41,D$10-SUM(E$17:E41))</f>
        <v>683677.90262402245</v>
      </c>
      <c r="E42" s="482">
        <f t="shared" si="16"/>
        <v>43385.209487179491</v>
      </c>
      <c r="F42" s="483">
        <f t="shared" si="17"/>
        <v>640292.69313684292</v>
      </c>
      <c r="G42" s="484">
        <f t="shared" si="18"/>
        <v>122399.07999241451</v>
      </c>
      <c r="H42" s="453">
        <f t="shared" si="19"/>
        <v>122399.07999241451</v>
      </c>
      <c r="I42" s="473">
        <f t="shared" si="3"/>
        <v>0</v>
      </c>
      <c r="J42" s="473"/>
      <c r="K42" s="485"/>
      <c r="L42" s="476">
        <f t="shared" si="20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 ht="12.5">
      <c r="B43" s="160" t="str">
        <f t="shared" si="4"/>
        <v/>
      </c>
      <c r="C43" s="470">
        <f>IF(D11="","-",+C42+1)</f>
        <v>2041</v>
      </c>
      <c r="D43" s="483">
        <f>IF(F42+SUM(E$17:E42)=D$10,F42,D$10-SUM(E$17:E42))</f>
        <v>640292.69313684292</v>
      </c>
      <c r="E43" s="482">
        <f t="shared" si="16"/>
        <v>43385.209487179491</v>
      </c>
      <c r="F43" s="483">
        <f t="shared" si="17"/>
        <v>596907.48364966339</v>
      </c>
      <c r="G43" s="484">
        <f t="shared" si="18"/>
        <v>117220.66691399948</v>
      </c>
      <c r="H43" s="453">
        <f t="shared" si="19"/>
        <v>117220.66691399948</v>
      </c>
      <c r="I43" s="473">
        <f t="shared" si="3"/>
        <v>0</v>
      </c>
      <c r="J43" s="473"/>
      <c r="K43" s="485"/>
      <c r="L43" s="476">
        <f t="shared" si="20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 ht="12.5">
      <c r="B44" s="160" t="str">
        <f t="shared" si="4"/>
        <v/>
      </c>
      <c r="C44" s="470">
        <f>IF(D11="","-",+C43+1)</f>
        <v>2042</v>
      </c>
      <c r="D44" s="483">
        <f>IF(F43+SUM(E$17:E43)=D$10,F43,D$10-SUM(E$17:E43))</f>
        <v>596907.48364966339</v>
      </c>
      <c r="E44" s="482">
        <f t="shared" si="16"/>
        <v>43385.209487179491</v>
      </c>
      <c r="F44" s="483">
        <f t="shared" si="17"/>
        <v>553522.27416248387</v>
      </c>
      <c r="G44" s="484">
        <f t="shared" si="18"/>
        <v>112042.25383558444</v>
      </c>
      <c r="H44" s="453">
        <f t="shared" si="19"/>
        <v>112042.25383558444</v>
      </c>
      <c r="I44" s="473">
        <f t="shared" si="3"/>
        <v>0</v>
      </c>
      <c r="J44" s="473"/>
      <c r="K44" s="485"/>
      <c r="L44" s="476">
        <f t="shared" si="20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 ht="12.5">
      <c r="B45" s="160" t="str">
        <f t="shared" si="4"/>
        <v/>
      </c>
      <c r="C45" s="470">
        <f>IF(D11="","-",+C44+1)</f>
        <v>2043</v>
      </c>
      <c r="D45" s="483">
        <f>IF(F44+SUM(E$17:E44)=D$10,F44,D$10-SUM(E$17:E44))</f>
        <v>553522.27416248387</v>
      </c>
      <c r="E45" s="482">
        <f t="shared" si="16"/>
        <v>43385.209487179491</v>
      </c>
      <c r="F45" s="483">
        <f t="shared" si="17"/>
        <v>510137.0646753044</v>
      </c>
      <c r="G45" s="484">
        <f t="shared" si="18"/>
        <v>106863.84075716944</v>
      </c>
      <c r="H45" s="453">
        <f t="shared" si="19"/>
        <v>106863.84075716944</v>
      </c>
      <c r="I45" s="473">
        <f t="shared" si="3"/>
        <v>0</v>
      </c>
      <c r="J45" s="473"/>
      <c r="K45" s="485"/>
      <c r="L45" s="476">
        <f t="shared" si="20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 ht="12.5">
      <c r="B46" s="160" t="str">
        <f t="shared" si="4"/>
        <v/>
      </c>
      <c r="C46" s="470">
        <f>IF(D11="","-",+C45+1)</f>
        <v>2044</v>
      </c>
      <c r="D46" s="483">
        <f>IF(F45+SUM(E$17:E45)=D$10,F45,D$10-SUM(E$17:E45))</f>
        <v>510137.0646753044</v>
      </c>
      <c r="E46" s="482">
        <f t="shared" si="16"/>
        <v>43385.209487179491</v>
      </c>
      <c r="F46" s="483">
        <f t="shared" si="17"/>
        <v>466751.85518812493</v>
      </c>
      <c r="G46" s="484">
        <f t="shared" si="18"/>
        <v>101685.42767875444</v>
      </c>
      <c r="H46" s="453">
        <f t="shared" si="19"/>
        <v>101685.42767875444</v>
      </c>
      <c r="I46" s="473">
        <f t="shared" si="3"/>
        <v>0</v>
      </c>
      <c r="J46" s="473"/>
      <c r="K46" s="485"/>
      <c r="L46" s="476">
        <f t="shared" si="20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 ht="12.5">
      <c r="B47" s="160" t="str">
        <f t="shared" si="4"/>
        <v/>
      </c>
      <c r="C47" s="470">
        <f>IF(D11="","-",+C46+1)</f>
        <v>2045</v>
      </c>
      <c r="D47" s="483">
        <f>IF(F46+SUM(E$17:E46)=D$10,F46,D$10-SUM(E$17:E46))</f>
        <v>466751.85518812493</v>
      </c>
      <c r="E47" s="482">
        <f t="shared" si="16"/>
        <v>43385.209487179491</v>
      </c>
      <c r="F47" s="483">
        <f t="shared" si="17"/>
        <v>423366.64570094546</v>
      </c>
      <c r="G47" s="484">
        <f t="shared" si="18"/>
        <v>96507.014600339404</v>
      </c>
      <c r="H47" s="453">
        <f t="shared" si="19"/>
        <v>96507.014600339404</v>
      </c>
      <c r="I47" s="473">
        <f t="shared" si="3"/>
        <v>0</v>
      </c>
      <c r="J47" s="473"/>
      <c r="K47" s="485"/>
      <c r="L47" s="476">
        <f t="shared" si="20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 ht="12.5">
      <c r="B48" s="160" t="str">
        <f t="shared" si="4"/>
        <v/>
      </c>
      <c r="C48" s="470">
        <f>IF(D11="","-",+C47+1)</f>
        <v>2046</v>
      </c>
      <c r="D48" s="483">
        <f>IF(F47+SUM(E$17:E47)=D$10,F47,D$10-SUM(E$17:E47))</f>
        <v>423366.64570094546</v>
      </c>
      <c r="E48" s="482">
        <f t="shared" si="16"/>
        <v>43385.209487179491</v>
      </c>
      <c r="F48" s="483">
        <f t="shared" si="17"/>
        <v>379981.43621376599</v>
      </c>
      <c r="G48" s="484">
        <f t="shared" si="18"/>
        <v>91328.6015219244</v>
      </c>
      <c r="H48" s="453">
        <f t="shared" si="19"/>
        <v>91328.6015219244</v>
      </c>
      <c r="I48" s="473">
        <f t="shared" si="3"/>
        <v>0</v>
      </c>
      <c r="J48" s="473"/>
      <c r="K48" s="485"/>
      <c r="L48" s="476">
        <f t="shared" si="20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 ht="12.5">
      <c r="B49" s="160" t="str">
        <f t="shared" si="4"/>
        <v/>
      </c>
      <c r="C49" s="470">
        <f>IF(D11="","-",+C48+1)</f>
        <v>2047</v>
      </c>
      <c r="D49" s="483">
        <f>IF(F48+SUM(E$17:E48)=D$10,F48,D$10-SUM(E$17:E48))</f>
        <v>379981.43621376599</v>
      </c>
      <c r="E49" s="482">
        <f t="shared" si="16"/>
        <v>43385.209487179491</v>
      </c>
      <c r="F49" s="483">
        <f t="shared" si="17"/>
        <v>336596.22672658652</v>
      </c>
      <c r="G49" s="484">
        <f t="shared" si="18"/>
        <v>86150.188443509367</v>
      </c>
      <c r="H49" s="453">
        <f t="shared" si="19"/>
        <v>86150.188443509367</v>
      </c>
      <c r="I49" s="473">
        <f t="shared" si="3"/>
        <v>0</v>
      </c>
      <c r="J49" s="473"/>
      <c r="K49" s="485"/>
      <c r="L49" s="476">
        <f t="shared" si="20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 ht="12.5">
      <c r="B50" s="160" t="str">
        <f t="shared" si="4"/>
        <v/>
      </c>
      <c r="C50" s="470">
        <f>IF(D11="","-",+C49+1)</f>
        <v>2048</v>
      </c>
      <c r="D50" s="483">
        <f>IF(F49+SUM(E$17:E49)=D$10,F49,D$10-SUM(E$17:E49))</f>
        <v>336596.22672658652</v>
      </c>
      <c r="E50" s="482">
        <f t="shared" si="16"/>
        <v>43385.209487179491</v>
      </c>
      <c r="F50" s="483">
        <f t="shared" si="17"/>
        <v>293211.01723940705</v>
      </c>
      <c r="G50" s="484">
        <f t="shared" si="18"/>
        <v>80971.775365094363</v>
      </c>
      <c r="H50" s="453">
        <f t="shared" si="19"/>
        <v>80971.775365094363</v>
      </c>
      <c r="I50" s="473">
        <f t="shared" si="3"/>
        <v>0</v>
      </c>
      <c r="J50" s="473"/>
      <c r="K50" s="485"/>
      <c r="L50" s="476">
        <f t="shared" si="20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 ht="12.5">
      <c r="B51" s="160" t="str">
        <f t="shared" si="4"/>
        <v/>
      </c>
      <c r="C51" s="470">
        <f>IF(D11="","-",+C50+1)</f>
        <v>2049</v>
      </c>
      <c r="D51" s="483">
        <f>IF(F50+SUM(E$17:E50)=D$10,F50,D$10-SUM(E$17:E50))</f>
        <v>293211.01723940705</v>
      </c>
      <c r="E51" s="482">
        <f t="shared" si="16"/>
        <v>43385.209487179491</v>
      </c>
      <c r="F51" s="483">
        <f t="shared" si="17"/>
        <v>249825.80775222756</v>
      </c>
      <c r="G51" s="484">
        <f t="shared" si="18"/>
        <v>75793.362286679345</v>
      </c>
      <c r="H51" s="453">
        <f t="shared" si="19"/>
        <v>75793.362286679345</v>
      </c>
      <c r="I51" s="473">
        <f t="shared" si="3"/>
        <v>0</v>
      </c>
      <c r="J51" s="473"/>
      <c r="K51" s="485"/>
      <c r="L51" s="476">
        <f t="shared" si="20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 ht="12.5">
      <c r="B52" s="160" t="str">
        <f t="shared" si="4"/>
        <v/>
      </c>
      <c r="C52" s="470">
        <f>IF(D11="","-",+C51+1)</f>
        <v>2050</v>
      </c>
      <c r="D52" s="483">
        <f>IF(F51+SUM(E$17:E51)=D$10,F51,D$10-SUM(E$17:E51))</f>
        <v>249825.80775222756</v>
      </c>
      <c r="E52" s="482">
        <f t="shared" si="16"/>
        <v>43385.209487179491</v>
      </c>
      <c r="F52" s="483">
        <f t="shared" si="17"/>
        <v>206440.59826504806</v>
      </c>
      <c r="G52" s="484">
        <f t="shared" si="18"/>
        <v>70614.949208264326</v>
      </c>
      <c r="H52" s="453">
        <f t="shared" si="19"/>
        <v>70614.949208264326</v>
      </c>
      <c r="I52" s="473">
        <f t="shared" si="3"/>
        <v>0</v>
      </c>
      <c r="J52" s="473"/>
      <c r="K52" s="485"/>
      <c r="L52" s="476">
        <f t="shared" si="20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 ht="12.5">
      <c r="B53" s="160" t="str">
        <f t="shared" si="4"/>
        <v/>
      </c>
      <c r="C53" s="470">
        <f>IF(D11="","-",+C52+1)</f>
        <v>2051</v>
      </c>
      <c r="D53" s="483">
        <f>IF(F52+SUM(E$17:E52)=D$10,F52,D$10-SUM(E$17:E52))</f>
        <v>206440.59826504806</v>
      </c>
      <c r="E53" s="482">
        <f t="shared" si="16"/>
        <v>43385.209487179491</v>
      </c>
      <c r="F53" s="483">
        <f t="shared" si="17"/>
        <v>163055.38877786856</v>
      </c>
      <c r="G53" s="484">
        <f t="shared" si="18"/>
        <v>65436.536129849308</v>
      </c>
      <c r="H53" s="453">
        <f t="shared" si="19"/>
        <v>65436.536129849308</v>
      </c>
      <c r="I53" s="473">
        <f t="shared" si="3"/>
        <v>0</v>
      </c>
      <c r="J53" s="473"/>
      <c r="K53" s="485"/>
      <c r="L53" s="476">
        <f t="shared" si="20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 ht="12.5">
      <c r="B54" s="160" t="str">
        <f t="shared" si="4"/>
        <v/>
      </c>
      <c r="C54" s="470">
        <f>IF(D11="","-",+C53+1)</f>
        <v>2052</v>
      </c>
      <c r="D54" s="483">
        <f>IF(F53+SUM(E$17:E53)=D$10,F53,D$10-SUM(E$17:E53))</f>
        <v>163055.38877786856</v>
      </c>
      <c r="E54" s="482">
        <f t="shared" si="16"/>
        <v>43385.209487179491</v>
      </c>
      <c r="F54" s="483">
        <f t="shared" si="17"/>
        <v>119670.17929068906</v>
      </c>
      <c r="G54" s="484">
        <f t="shared" si="18"/>
        <v>60258.123051434297</v>
      </c>
      <c r="H54" s="453">
        <f t="shared" si="19"/>
        <v>60258.123051434297</v>
      </c>
      <c r="I54" s="473">
        <f t="shared" si="3"/>
        <v>0</v>
      </c>
      <c r="J54" s="473"/>
      <c r="K54" s="485"/>
      <c r="L54" s="476">
        <f t="shared" si="20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 ht="12.5">
      <c r="B55" s="160" t="str">
        <f t="shared" si="4"/>
        <v/>
      </c>
      <c r="C55" s="470">
        <f>IF(D11="","-",+C54+1)</f>
        <v>2053</v>
      </c>
      <c r="D55" s="483">
        <f>IF(F54+SUM(E$17:E54)=D$10,F54,D$10-SUM(E$17:E54))</f>
        <v>119670.17929068906</v>
      </c>
      <c r="E55" s="482">
        <f t="shared" si="16"/>
        <v>43385.209487179491</v>
      </c>
      <c r="F55" s="483">
        <f t="shared" si="17"/>
        <v>76284.969803509564</v>
      </c>
      <c r="G55" s="484">
        <f t="shared" si="18"/>
        <v>55079.709973019279</v>
      </c>
      <c r="H55" s="453">
        <f t="shared" si="19"/>
        <v>55079.709973019279</v>
      </c>
      <c r="I55" s="473">
        <f t="shared" si="3"/>
        <v>0</v>
      </c>
      <c r="J55" s="473"/>
      <c r="K55" s="485"/>
      <c r="L55" s="476">
        <f t="shared" si="20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 ht="12.5">
      <c r="B56" s="160" t="str">
        <f t="shared" si="4"/>
        <v/>
      </c>
      <c r="C56" s="470">
        <f>IF(D11="","-",+C55+1)</f>
        <v>2054</v>
      </c>
      <c r="D56" s="483">
        <f>IF(F55+SUM(E$17:E55)=D$10,F55,D$10-SUM(E$17:E55))</f>
        <v>76284.969803509564</v>
      </c>
      <c r="E56" s="482">
        <f t="shared" si="16"/>
        <v>43385.209487179491</v>
      </c>
      <c r="F56" s="483">
        <f t="shared" si="17"/>
        <v>32899.760316330074</v>
      </c>
      <c r="G56" s="484">
        <f t="shared" si="18"/>
        <v>49901.29689460426</v>
      </c>
      <c r="H56" s="453">
        <f t="shared" si="19"/>
        <v>49901.29689460426</v>
      </c>
      <c r="I56" s="473">
        <f t="shared" si="3"/>
        <v>0</v>
      </c>
      <c r="J56" s="473"/>
      <c r="K56" s="485"/>
      <c r="L56" s="476">
        <f t="shared" si="20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 ht="12.5">
      <c r="B57" s="160" t="str">
        <f t="shared" si="4"/>
        <v/>
      </c>
      <c r="C57" s="470">
        <f>IF(D11="","-",+C56+1)</f>
        <v>2055</v>
      </c>
      <c r="D57" s="483">
        <f>IF(F56+SUM(E$17:E56)=D$10,F56,D$10-SUM(E$17:E56))</f>
        <v>32899.760316330074</v>
      </c>
      <c r="E57" s="482">
        <f t="shared" si="16"/>
        <v>32899.760316330074</v>
      </c>
      <c r="F57" s="483">
        <f t="shared" si="17"/>
        <v>0</v>
      </c>
      <c r="G57" s="484">
        <f t="shared" si="18"/>
        <v>34863.2007504387</v>
      </c>
      <c r="H57" s="453">
        <f t="shared" si="19"/>
        <v>34863.2007504387</v>
      </c>
      <c r="I57" s="473">
        <f t="shared" si="3"/>
        <v>0</v>
      </c>
      <c r="J57" s="473"/>
      <c r="K57" s="485"/>
      <c r="L57" s="476">
        <f t="shared" si="20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 ht="12.5">
      <c r="B58" s="160" t="str">
        <f t="shared" si="4"/>
        <v/>
      </c>
      <c r="C58" s="470">
        <f>IF(D11="","-",+C57+1)</f>
        <v>2056</v>
      </c>
      <c r="D58" s="483">
        <f>IF(F57+SUM(E$17:E57)=D$10,F57,D$10-SUM(E$17:E57))</f>
        <v>0</v>
      </c>
      <c r="E58" s="482">
        <f t="shared" si="16"/>
        <v>0</v>
      </c>
      <c r="F58" s="483">
        <f t="shared" si="17"/>
        <v>0</v>
      </c>
      <c r="G58" s="484">
        <f t="shared" si="18"/>
        <v>0</v>
      </c>
      <c r="H58" s="453">
        <f t="shared" si="19"/>
        <v>0</v>
      </c>
      <c r="I58" s="473">
        <f t="shared" si="3"/>
        <v>0</v>
      </c>
      <c r="J58" s="473"/>
      <c r="K58" s="485"/>
      <c r="L58" s="476">
        <f t="shared" si="20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 ht="12.5">
      <c r="B59" s="160" t="str">
        <f t="shared" si="4"/>
        <v/>
      </c>
      <c r="C59" s="470">
        <f>IF(D11="","-",+C58+1)</f>
        <v>2057</v>
      </c>
      <c r="D59" s="483">
        <f>IF(F58+SUM(E$17:E58)=D$10,F58,D$10-SUM(E$17:E58))</f>
        <v>0</v>
      </c>
      <c r="E59" s="482">
        <f t="shared" si="16"/>
        <v>0</v>
      </c>
      <c r="F59" s="483">
        <f t="shared" si="17"/>
        <v>0</v>
      </c>
      <c r="G59" s="484">
        <f t="shared" si="18"/>
        <v>0</v>
      </c>
      <c r="H59" s="453">
        <f t="shared" si="19"/>
        <v>0</v>
      </c>
      <c r="I59" s="473">
        <f t="shared" si="3"/>
        <v>0</v>
      </c>
      <c r="J59" s="473"/>
      <c r="K59" s="485"/>
      <c r="L59" s="476">
        <f t="shared" si="20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 ht="12.5">
      <c r="B60" s="160" t="str">
        <f t="shared" si="4"/>
        <v/>
      </c>
      <c r="C60" s="470">
        <f>IF(D11="","-",+C59+1)</f>
        <v>2058</v>
      </c>
      <c r="D60" s="483">
        <f>IF(F59+SUM(E$17:E59)=D$10,F59,D$10-SUM(E$17:E59))</f>
        <v>0</v>
      </c>
      <c r="E60" s="482">
        <f t="shared" si="16"/>
        <v>0</v>
      </c>
      <c r="F60" s="483">
        <f t="shared" si="17"/>
        <v>0</v>
      </c>
      <c r="G60" s="484">
        <f t="shared" si="18"/>
        <v>0</v>
      </c>
      <c r="H60" s="453">
        <f t="shared" si="19"/>
        <v>0</v>
      </c>
      <c r="I60" s="473">
        <f t="shared" si="3"/>
        <v>0</v>
      </c>
      <c r="J60" s="473"/>
      <c r="K60" s="485"/>
      <c r="L60" s="476">
        <f t="shared" si="20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 ht="12.5">
      <c r="B61" s="160" t="str">
        <f t="shared" si="4"/>
        <v/>
      </c>
      <c r="C61" s="470">
        <f>IF(D11="","-",+C60+1)</f>
        <v>2059</v>
      </c>
      <c r="D61" s="483">
        <f>IF(F60+SUM(E$17:E60)=D$10,F60,D$10-SUM(E$17:E60))</f>
        <v>0</v>
      </c>
      <c r="E61" s="482">
        <f t="shared" si="16"/>
        <v>0</v>
      </c>
      <c r="F61" s="483">
        <f t="shared" si="17"/>
        <v>0</v>
      </c>
      <c r="G61" s="484">
        <f t="shared" si="18"/>
        <v>0</v>
      </c>
      <c r="H61" s="453">
        <f t="shared" si="19"/>
        <v>0</v>
      </c>
      <c r="I61" s="473">
        <f t="shared" si="3"/>
        <v>0</v>
      </c>
      <c r="J61" s="473"/>
      <c r="K61" s="485"/>
      <c r="L61" s="476">
        <f t="shared" si="20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 ht="12.5">
      <c r="B62" s="160" t="str">
        <f t="shared" si="4"/>
        <v/>
      </c>
      <c r="C62" s="470">
        <f>IF(D11="","-",+C61+1)</f>
        <v>2060</v>
      </c>
      <c r="D62" s="483">
        <f>IF(F61+SUM(E$17:E61)=D$10,F61,D$10-SUM(E$17:E61))</f>
        <v>0</v>
      </c>
      <c r="E62" s="482">
        <f t="shared" si="16"/>
        <v>0</v>
      </c>
      <c r="F62" s="483">
        <f t="shared" si="17"/>
        <v>0</v>
      </c>
      <c r="G62" s="484">
        <f t="shared" si="18"/>
        <v>0</v>
      </c>
      <c r="H62" s="453">
        <f t="shared" si="19"/>
        <v>0</v>
      </c>
      <c r="I62" s="473">
        <f t="shared" si="3"/>
        <v>0</v>
      </c>
      <c r="J62" s="473"/>
      <c r="K62" s="485"/>
      <c r="L62" s="476">
        <f t="shared" si="20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 ht="12.5">
      <c r="B63" s="160" t="str">
        <f t="shared" si="4"/>
        <v/>
      </c>
      <c r="C63" s="470">
        <f>IF(D11="","-",+C62+1)</f>
        <v>2061</v>
      </c>
      <c r="D63" s="483">
        <f>IF(F62+SUM(E$17:E62)=D$10,F62,D$10-SUM(E$17:E62))</f>
        <v>0</v>
      </c>
      <c r="E63" s="482">
        <f t="shared" si="16"/>
        <v>0</v>
      </c>
      <c r="F63" s="483">
        <f t="shared" si="17"/>
        <v>0</v>
      </c>
      <c r="G63" s="484">
        <f t="shared" si="18"/>
        <v>0</v>
      </c>
      <c r="H63" s="453">
        <f t="shared" si="19"/>
        <v>0</v>
      </c>
      <c r="I63" s="473">
        <f t="shared" si="3"/>
        <v>0</v>
      </c>
      <c r="J63" s="473"/>
      <c r="K63" s="485"/>
      <c r="L63" s="476">
        <f t="shared" si="20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 ht="12.5">
      <c r="B64" s="160" t="str">
        <f t="shared" si="4"/>
        <v/>
      </c>
      <c r="C64" s="470">
        <f>IF(D11="","-",+C63+1)</f>
        <v>2062</v>
      </c>
      <c r="D64" s="483">
        <f>IF(F63+SUM(E$17:E63)=D$10,F63,D$10-SUM(E$17:E63))</f>
        <v>0</v>
      </c>
      <c r="E64" s="482">
        <f t="shared" si="16"/>
        <v>0</v>
      </c>
      <c r="F64" s="483">
        <f t="shared" si="17"/>
        <v>0</v>
      </c>
      <c r="G64" s="484">
        <f t="shared" si="18"/>
        <v>0</v>
      </c>
      <c r="H64" s="453">
        <f t="shared" si="19"/>
        <v>0</v>
      </c>
      <c r="I64" s="473">
        <f t="shared" si="3"/>
        <v>0</v>
      </c>
      <c r="J64" s="473"/>
      <c r="K64" s="485"/>
      <c r="L64" s="476">
        <f t="shared" si="20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 ht="12.5">
      <c r="B65" s="160" t="str">
        <f t="shared" si="4"/>
        <v/>
      </c>
      <c r="C65" s="470">
        <f>IF(D11="","-",+C64+1)</f>
        <v>2063</v>
      </c>
      <c r="D65" s="483">
        <f>IF(F64+SUM(E$17:E64)=D$10,F64,D$10-SUM(E$17:E64))</f>
        <v>0</v>
      </c>
      <c r="E65" s="482">
        <f t="shared" si="16"/>
        <v>0</v>
      </c>
      <c r="F65" s="483">
        <f t="shared" si="17"/>
        <v>0</v>
      </c>
      <c r="G65" s="484">
        <f t="shared" si="18"/>
        <v>0</v>
      </c>
      <c r="H65" s="453">
        <f t="shared" si="19"/>
        <v>0</v>
      </c>
      <c r="I65" s="473">
        <f t="shared" si="3"/>
        <v>0</v>
      </c>
      <c r="J65" s="473"/>
      <c r="K65" s="485"/>
      <c r="L65" s="476">
        <f t="shared" si="20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 ht="12.5">
      <c r="B66" s="160" t="str">
        <f t="shared" si="4"/>
        <v/>
      </c>
      <c r="C66" s="470">
        <f>IF(D11="","-",+C65+1)</f>
        <v>2064</v>
      </c>
      <c r="D66" s="483">
        <f>IF(F65+SUM(E$17:E65)=D$10,F65,D$10-SUM(E$17:E65))</f>
        <v>0</v>
      </c>
      <c r="E66" s="482">
        <f t="shared" si="16"/>
        <v>0</v>
      </c>
      <c r="F66" s="483">
        <f t="shared" si="17"/>
        <v>0</v>
      </c>
      <c r="G66" s="484">
        <f t="shared" si="18"/>
        <v>0</v>
      </c>
      <c r="H66" s="453">
        <f t="shared" si="19"/>
        <v>0</v>
      </c>
      <c r="I66" s="473">
        <f t="shared" si="3"/>
        <v>0</v>
      </c>
      <c r="J66" s="473"/>
      <c r="K66" s="485"/>
      <c r="L66" s="476">
        <f t="shared" si="20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 ht="12.5">
      <c r="B67" s="160" t="str">
        <f t="shared" si="4"/>
        <v/>
      </c>
      <c r="C67" s="470">
        <f>IF(D11="","-",+C66+1)</f>
        <v>2065</v>
      </c>
      <c r="D67" s="483">
        <f>IF(F66+SUM(E$17:E66)=D$10,F66,D$10-SUM(E$17:E66))</f>
        <v>0</v>
      </c>
      <c r="E67" s="482">
        <f t="shared" si="16"/>
        <v>0</v>
      </c>
      <c r="F67" s="483">
        <f t="shared" si="17"/>
        <v>0</v>
      </c>
      <c r="G67" s="484">
        <f t="shared" si="18"/>
        <v>0</v>
      </c>
      <c r="H67" s="453">
        <f t="shared" si="19"/>
        <v>0</v>
      </c>
      <c r="I67" s="473">
        <f t="shared" si="3"/>
        <v>0</v>
      </c>
      <c r="J67" s="473"/>
      <c r="K67" s="485"/>
      <c r="L67" s="476">
        <f t="shared" si="20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 ht="12.5">
      <c r="B68" s="160" t="str">
        <f t="shared" si="4"/>
        <v/>
      </c>
      <c r="C68" s="470">
        <f>IF(D11="","-",+C67+1)</f>
        <v>2066</v>
      </c>
      <c r="D68" s="483">
        <f>IF(F67+SUM(E$17:E67)=D$10,F67,D$10-SUM(E$17:E67))</f>
        <v>0</v>
      </c>
      <c r="E68" s="482">
        <f t="shared" si="16"/>
        <v>0</v>
      </c>
      <c r="F68" s="483">
        <f t="shared" si="17"/>
        <v>0</v>
      </c>
      <c r="G68" s="484">
        <f t="shared" si="18"/>
        <v>0</v>
      </c>
      <c r="H68" s="453">
        <f t="shared" si="19"/>
        <v>0</v>
      </c>
      <c r="I68" s="473">
        <f t="shared" si="3"/>
        <v>0</v>
      </c>
      <c r="J68" s="473"/>
      <c r="K68" s="485"/>
      <c r="L68" s="476">
        <f t="shared" si="20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 ht="12.5">
      <c r="B69" s="160" t="str">
        <f t="shared" si="4"/>
        <v/>
      </c>
      <c r="C69" s="470">
        <f>IF(D11="","-",+C68+1)</f>
        <v>2067</v>
      </c>
      <c r="D69" s="483">
        <f>IF(F68+SUM(E$17:E68)=D$10,F68,D$10-SUM(E$17:E68))</f>
        <v>0</v>
      </c>
      <c r="E69" s="482">
        <f t="shared" si="16"/>
        <v>0</v>
      </c>
      <c r="F69" s="483">
        <f t="shared" si="17"/>
        <v>0</v>
      </c>
      <c r="G69" s="484">
        <f t="shared" si="18"/>
        <v>0</v>
      </c>
      <c r="H69" s="453">
        <f t="shared" si="19"/>
        <v>0</v>
      </c>
      <c r="I69" s="473">
        <f t="shared" si="3"/>
        <v>0</v>
      </c>
      <c r="J69" s="473"/>
      <c r="K69" s="485"/>
      <c r="L69" s="476">
        <f t="shared" si="20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 ht="12.5">
      <c r="B70" s="160" t="str">
        <f t="shared" si="4"/>
        <v/>
      </c>
      <c r="C70" s="470">
        <f>IF(D11="","-",+C69+1)</f>
        <v>2068</v>
      </c>
      <c r="D70" s="483">
        <f>IF(F69+SUM(E$17:E69)=D$10,F69,D$10-SUM(E$17:E69))</f>
        <v>0</v>
      </c>
      <c r="E70" s="482">
        <f t="shared" si="16"/>
        <v>0</v>
      </c>
      <c r="F70" s="483">
        <f t="shared" si="17"/>
        <v>0</v>
      </c>
      <c r="G70" s="484">
        <f t="shared" si="18"/>
        <v>0</v>
      </c>
      <c r="H70" s="453">
        <f t="shared" si="19"/>
        <v>0</v>
      </c>
      <c r="I70" s="473">
        <f t="shared" si="3"/>
        <v>0</v>
      </c>
      <c r="J70" s="473"/>
      <c r="K70" s="485"/>
      <c r="L70" s="476">
        <f t="shared" si="20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 ht="12.5">
      <c r="B71" s="160" t="str">
        <f t="shared" si="4"/>
        <v/>
      </c>
      <c r="C71" s="470">
        <f>IF(D11="","-",+C70+1)</f>
        <v>2069</v>
      </c>
      <c r="D71" s="483">
        <f>IF(F70+SUM(E$17:E70)=D$10,F70,D$10-SUM(E$17:E70))</f>
        <v>0</v>
      </c>
      <c r="E71" s="482">
        <f t="shared" si="16"/>
        <v>0</v>
      </c>
      <c r="F71" s="483">
        <f t="shared" si="17"/>
        <v>0</v>
      </c>
      <c r="G71" s="484">
        <f t="shared" si="18"/>
        <v>0</v>
      </c>
      <c r="H71" s="453">
        <f t="shared" si="19"/>
        <v>0</v>
      </c>
      <c r="I71" s="473">
        <f t="shared" si="3"/>
        <v>0</v>
      </c>
      <c r="J71" s="473"/>
      <c r="K71" s="485"/>
      <c r="L71" s="476">
        <f t="shared" si="20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" thickBot="1">
      <c r="B72" s="160" t="str">
        <f t="shared" si="4"/>
        <v/>
      </c>
      <c r="C72" s="487">
        <f>IF(D11="","-",+C71+1)</f>
        <v>2070</v>
      </c>
      <c r="D72" s="488">
        <f>IF(F71+SUM(E$17:E71)=D$10,F71,D$10-SUM(E$17:E71))</f>
        <v>0</v>
      </c>
      <c r="E72" s="489">
        <f t="shared" si="16"/>
        <v>0</v>
      </c>
      <c r="F72" s="488">
        <f t="shared" si="17"/>
        <v>0</v>
      </c>
      <c r="G72" s="488">
        <f t="shared" si="18"/>
        <v>0</v>
      </c>
      <c r="H72" s="488">
        <f t="shared" si="19"/>
        <v>0</v>
      </c>
      <c r="I72" s="491">
        <f t="shared" si="3"/>
        <v>0</v>
      </c>
      <c r="J72" s="473"/>
      <c r="K72" s="492"/>
      <c r="L72" s="493">
        <f t="shared" si="20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 ht="12.5">
      <c r="C73" s="345" t="s">
        <v>77</v>
      </c>
      <c r="D73" s="346"/>
      <c r="E73" s="346">
        <f>SUM(E17:E72)</f>
        <v>1692023.1700000002</v>
      </c>
      <c r="F73" s="346"/>
      <c r="G73" s="346">
        <f>SUM(G17:G72)</f>
        <v>5952129.9585757786</v>
      </c>
      <c r="H73" s="346">
        <f>SUM(H17:H72)</f>
        <v>5952129.9585757786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17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207843.2094871795</v>
      </c>
      <c r="N87" s="506">
        <f>IF(J92&lt;D11,0,VLOOKUP(J92,C17:O72,11))</f>
        <v>207843.2094871795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203482.24520661493</v>
      </c>
      <c r="N88" s="510">
        <f>IF(J92&lt;D11,0,VLOOKUP(J92,C99:P154,7))</f>
        <v>203482.24520661493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Grady Customer Connection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-4360.9642805645708</v>
      </c>
      <c r="N89" s="515">
        <f>+N88-N87</f>
        <v>-4360.9642805645708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TP2013002</v>
      </c>
      <c r="E91" s="520" t="str">
        <f>E9</f>
        <v xml:space="preserve">  SPP Project ID = 30748</v>
      </c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606">
        <f>D10</f>
        <v>1692023.1700000002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2015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12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44527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2015</v>
      </c>
      <c r="D99" s="582">
        <v>0</v>
      </c>
      <c r="E99" s="605">
        <v>0</v>
      </c>
      <c r="F99" s="582">
        <v>1625288</v>
      </c>
      <c r="G99" s="605">
        <v>812644</v>
      </c>
      <c r="H99" s="585">
        <v>110878.7398202499</v>
      </c>
      <c r="I99" s="604">
        <v>110878.7398202499</v>
      </c>
      <c r="J99" s="476">
        <f>+I99-H99</f>
        <v>0</v>
      </c>
      <c r="K99" s="476"/>
      <c r="L99" s="552">
        <f>+H99</f>
        <v>110878.7398202499</v>
      </c>
      <c r="M99" s="475">
        <f t="shared" ref="M99:M130" si="21">IF(L99&lt;&gt;0,+H99-L99,0)</f>
        <v>0</v>
      </c>
      <c r="N99" s="552">
        <f>+I99</f>
        <v>110878.7398202499</v>
      </c>
      <c r="O99" s="475">
        <f t="shared" ref="O99:O130" si="22">IF(N99&lt;&gt;0,+I99-N99,0)</f>
        <v>0</v>
      </c>
      <c r="P99" s="475">
        <f t="shared" ref="P99:P130" si="23">+O99-M99</f>
        <v>0</v>
      </c>
    </row>
    <row r="100" spans="1:16" ht="12.5">
      <c r="B100" s="160" t="str">
        <f>IF(D100=F99,"","IU")</f>
        <v>IU</v>
      </c>
      <c r="C100" s="470">
        <f>IF(D93="","-",+C99+1)</f>
        <v>2016</v>
      </c>
      <c r="D100" s="582">
        <v>1692023</v>
      </c>
      <c r="E100" s="583">
        <v>36783</v>
      </c>
      <c r="F100" s="584">
        <v>1655240</v>
      </c>
      <c r="G100" s="584">
        <v>1673631.5</v>
      </c>
      <c r="H100" s="603">
        <v>252540.45816220198</v>
      </c>
      <c r="I100" s="604">
        <v>252540.45816220198</v>
      </c>
      <c r="J100" s="476">
        <f>+I100-H100</f>
        <v>0</v>
      </c>
      <c r="K100" s="476"/>
      <c r="L100" s="474">
        <f t="shared" ref="L100:L105" si="24">H100</f>
        <v>252540.45816220198</v>
      </c>
      <c r="M100" s="601">
        <f t="shared" ref="M100:M105" si="25">IF(L100&lt;&gt;0,+H100-L100,0)</f>
        <v>0</v>
      </c>
      <c r="N100" s="474">
        <f t="shared" ref="N100:N105" si="26">I100</f>
        <v>252540.45816220198</v>
      </c>
      <c r="O100" s="476">
        <f>IF(N100&lt;&gt;0,+I100-N100,0)</f>
        <v>0</v>
      </c>
      <c r="P100" s="473">
        <f>+O100-M100</f>
        <v>0</v>
      </c>
    </row>
    <row r="101" spans="1:16" ht="12.5">
      <c r="B101" s="160" t="str">
        <f t="shared" ref="B101:B154" si="27">IF(D101=F100,"","IU")</f>
        <v/>
      </c>
      <c r="C101" s="470">
        <f>IF(D93="","-",+C100+1)</f>
        <v>2017</v>
      </c>
      <c r="D101" s="582">
        <v>1655240</v>
      </c>
      <c r="E101" s="583">
        <v>36783</v>
      </c>
      <c r="F101" s="584">
        <v>1618457</v>
      </c>
      <c r="G101" s="584">
        <v>1636848.5</v>
      </c>
      <c r="H101" s="603">
        <v>244421.35953995908</v>
      </c>
      <c r="I101" s="604">
        <v>244421.35953995908</v>
      </c>
      <c r="J101" s="476">
        <f t="shared" ref="J101:J154" si="28">+I101-H101</f>
        <v>0</v>
      </c>
      <c r="K101" s="476"/>
      <c r="L101" s="474">
        <f t="shared" si="24"/>
        <v>244421.35953995908</v>
      </c>
      <c r="M101" s="601">
        <f t="shared" si="25"/>
        <v>0</v>
      </c>
      <c r="N101" s="474">
        <f t="shared" si="26"/>
        <v>244421.35953995908</v>
      </c>
      <c r="O101" s="476">
        <f>IF(N101&lt;&gt;0,+I101-N101,0)</f>
        <v>0</v>
      </c>
      <c r="P101" s="473">
        <f>+O101-M101</f>
        <v>0</v>
      </c>
    </row>
    <row r="102" spans="1:16" ht="12.5">
      <c r="B102" s="160" t="str">
        <f t="shared" si="27"/>
        <v/>
      </c>
      <c r="C102" s="470">
        <f>IF(D93="","-",+C101+1)</f>
        <v>2018</v>
      </c>
      <c r="D102" s="582">
        <v>1618457</v>
      </c>
      <c r="E102" s="583">
        <v>39349</v>
      </c>
      <c r="F102" s="584">
        <v>1579108</v>
      </c>
      <c r="G102" s="584">
        <v>1598782.5</v>
      </c>
      <c r="H102" s="603">
        <v>203600.82637045698</v>
      </c>
      <c r="I102" s="604">
        <v>203600.82637045698</v>
      </c>
      <c r="J102" s="476">
        <f t="shared" si="28"/>
        <v>0</v>
      </c>
      <c r="K102" s="476"/>
      <c r="L102" s="474">
        <f t="shared" si="24"/>
        <v>203600.82637045698</v>
      </c>
      <c r="M102" s="601">
        <f t="shared" si="25"/>
        <v>0</v>
      </c>
      <c r="N102" s="474">
        <f t="shared" si="26"/>
        <v>203600.82637045698</v>
      </c>
      <c r="O102" s="476">
        <f>IF(N102&lt;&gt;0,+I102-N102,0)</f>
        <v>0</v>
      </c>
      <c r="P102" s="473">
        <f>+O102-M102</f>
        <v>0</v>
      </c>
    </row>
    <row r="103" spans="1:16" ht="12.5">
      <c r="B103" s="160" t="str">
        <f t="shared" si="27"/>
        <v/>
      </c>
      <c r="C103" s="470">
        <f>IF(D93="","-",+C102+1)</f>
        <v>2019</v>
      </c>
      <c r="D103" s="582">
        <v>1579108</v>
      </c>
      <c r="E103" s="583">
        <v>41269</v>
      </c>
      <c r="F103" s="584">
        <v>1537839</v>
      </c>
      <c r="G103" s="584">
        <v>1558473.5</v>
      </c>
      <c r="H103" s="603">
        <v>201969.47712497122</v>
      </c>
      <c r="I103" s="604">
        <v>201969.47712497122</v>
      </c>
      <c r="J103" s="476">
        <f t="shared" si="28"/>
        <v>0</v>
      </c>
      <c r="K103" s="476"/>
      <c r="L103" s="474">
        <f t="shared" si="24"/>
        <v>201969.47712497122</v>
      </c>
      <c r="M103" s="601">
        <f t="shared" si="25"/>
        <v>0</v>
      </c>
      <c r="N103" s="474">
        <f t="shared" si="26"/>
        <v>201969.47712497122</v>
      </c>
      <c r="O103" s="476">
        <f t="shared" si="22"/>
        <v>0</v>
      </c>
      <c r="P103" s="476">
        <f t="shared" si="23"/>
        <v>0</v>
      </c>
    </row>
    <row r="104" spans="1:16" ht="12.5">
      <c r="B104" s="160" t="str">
        <f t="shared" si="27"/>
        <v/>
      </c>
      <c r="C104" s="470">
        <f>IF(D93="","-",+C103+1)</f>
        <v>2020</v>
      </c>
      <c r="D104" s="582">
        <v>1537839</v>
      </c>
      <c r="E104" s="583">
        <v>39349</v>
      </c>
      <c r="F104" s="584">
        <v>1498490</v>
      </c>
      <c r="G104" s="584">
        <v>1518164.5</v>
      </c>
      <c r="H104" s="603">
        <v>214389.19300086203</v>
      </c>
      <c r="I104" s="604">
        <v>214389.19300086203</v>
      </c>
      <c r="J104" s="476">
        <f t="shared" si="28"/>
        <v>0</v>
      </c>
      <c r="K104" s="476"/>
      <c r="L104" s="474">
        <f t="shared" si="24"/>
        <v>214389.19300086203</v>
      </c>
      <c r="M104" s="601">
        <f t="shared" si="25"/>
        <v>0</v>
      </c>
      <c r="N104" s="474">
        <f t="shared" si="26"/>
        <v>214389.19300086203</v>
      </c>
      <c r="O104" s="476">
        <f t="shared" si="22"/>
        <v>0</v>
      </c>
      <c r="P104" s="476">
        <f t="shared" si="23"/>
        <v>0</v>
      </c>
    </row>
    <row r="105" spans="1:16" ht="12.5">
      <c r="B105" s="160" t="str">
        <f t="shared" si="27"/>
        <v/>
      </c>
      <c r="C105" s="470">
        <f>IF(D93="","-",+C104+1)</f>
        <v>2021</v>
      </c>
      <c r="D105" s="582">
        <v>1498490</v>
      </c>
      <c r="E105" s="583">
        <v>41269</v>
      </c>
      <c r="F105" s="584">
        <v>1457221</v>
      </c>
      <c r="G105" s="584">
        <v>1477855.5</v>
      </c>
      <c r="H105" s="603">
        <v>209438.30504191047</v>
      </c>
      <c r="I105" s="604">
        <v>209438.30504191047</v>
      </c>
      <c r="J105" s="476">
        <f t="shared" si="28"/>
        <v>0</v>
      </c>
      <c r="K105" s="476"/>
      <c r="L105" s="474">
        <f t="shared" si="24"/>
        <v>209438.30504191047</v>
      </c>
      <c r="M105" s="601">
        <f t="shared" si="25"/>
        <v>0</v>
      </c>
      <c r="N105" s="474">
        <f t="shared" si="26"/>
        <v>209438.30504191047</v>
      </c>
      <c r="O105" s="476">
        <f t="shared" si="22"/>
        <v>0</v>
      </c>
      <c r="P105" s="476">
        <f t="shared" si="23"/>
        <v>0</v>
      </c>
    </row>
    <row r="106" spans="1:16" ht="12.5">
      <c r="B106" s="160" t="str">
        <f t="shared" si="27"/>
        <v/>
      </c>
      <c r="C106" s="470">
        <f>IF(D93="","-",+C105+1)</f>
        <v>2022</v>
      </c>
      <c r="D106" s="582">
        <v>1457221</v>
      </c>
      <c r="E106" s="583">
        <v>43385</v>
      </c>
      <c r="F106" s="584">
        <v>1413836</v>
      </c>
      <c r="G106" s="584">
        <v>1435528.5</v>
      </c>
      <c r="H106" s="603">
        <v>201555.33840860223</v>
      </c>
      <c r="I106" s="604">
        <v>201555.33840860223</v>
      </c>
      <c r="J106" s="476">
        <f t="shared" si="28"/>
        <v>0</v>
      </c>
      <c r="K106" s="476"/>
      <c r="L106" s="474">
        <f t="shared" ref="L106" si="29">H106</f>
        <v>201555.33840860223</v>
      </c>
      <c r="M106" s="601">
        <f t="shared" ref="M106" si="30">IF(L106&lt;&gt;0,+H106-L106,0)</f>
        <v>0</v>
      </c>
      <c r="N106" s="474">
        <f t="shared" ref="N106" si="31">I106</f>
        <v>201555.33840860223</v>
      </c>
      <c r="O106" s="476">
        <f t="shared" ref="O106" si="32">IF(N106&lt;&gt;0,+I106-N106,0)</f>
        <v>0</v>
      </c>
      <c r="P106" s="476">
        <f t="shared" ref="P106" si="33">+O106-M106</f>
        <v>0</v>
      </c>
    </row>
    <row r="107" spans="1:16" ht="12.5">
      <c r="B107" s="160" t="str">
        <f t="shared" si="27"/>
        <v>IU</v>
      </c>
      <c r="C107" s="470">
        <f>IF(D93="","-",+C106+1)</f>
        <v>2023</v>
      </c>
      <c r="D107" s="345">
        <f>IF(F106+SUM(E$99:E106)=D$92,F106,D$92-SUM(E$99:E106))</f>
        <v>1413836.1700000002</v>
      </c>
      <c r="E107" s="482">
        <f t="shared" ref="E107:E154" si="34">IF(+J$96&lt;F106,J$96,D107)</f>
        <v>44527</v>
      </c>
      <c r="F107" s="483">
        <f t="shared" ref="F107:F154" si="35">+D107-E107</f>
        <v>1369309.1700000002</v>
      </c>
      <c r="G107" s="483">
        <f t="shared" ref="G107:G154" si="36">+(F107+D107)/2</f>
        <v>1391572.6700000002</v>
      </c>
      <c r="H107" s="484">
        <f t="shared" ref="H107:H153" si="37">(D107+F107)/2*J$94+E107</f>
        <v>203482.24520661493</v>
      </c>
      <c r="I107" s="540">
        <f t="shared" ref="I107:I153" si="38">+J$95*G107+E107</f>
        <v>203482.24520661493</v>
      </c>
      <c r="J107" s="476">
        <f t="shared" si="28"/>
        <v>0</v>
      </c>
      <c r="K107" s="476"/>
      <c r="L107" s="485"/>
      <c r="M107" s="476">
        <f t="shared" si="21"/>
        <v>0</v>
      </c>
      <c r="N107" s="485"/>
      <c r="O107" s="476">
        <f t="shared" si="22"/>
        <v>0</v>
      </c>
      <c r="P107" s="476">
        <f t="shared" si="23"/>
        <v>0</v>
      </c>
    </row>
    <row r="108" spans="1:16" ht="12.5">
      <c r="B108" s="160" t="str">
        <f t="shared" si="27"/>
        <v/>
      </c>
      <c r="C108" s="470">
        <f>IF(D93="","-",+C107+1)</f>
        <v>2024</v>
      </c>
      <c r="D108" s="345">
        <f>IF(F107+SUM(E$99:E107)=D$92,F107,D$92-SUM(E$99:E107))</f>
        <v>1369309.1700000002</v>
      </c>
      <c r="E108" s="482">
        <f t="shared" si="34"/>
        <v>44527</v>
      </c>
      <c r="F108" s="483">
        <f t="shared" si="35"/>
        <v>1324782.1700000002</v>
      </c>
      <c r="G108" s="483">
        <f t="shared" si="36"/>
        <v>1347045.6700000002</v>
      </c>
      <c r="H108" s="484">
        <f t="shared" si="37"/>
        <v>198396.05721521456</v>
      </c>
      <c r="I108" s="540">
        <f t="shared" si="38"/>
        <v>198396.05721521456</v>
      </c>
      <c r="J108" s="476">
        <f t="shared" si="28"/>
        <v>0</v>
      </c>
      <c r="K108" s="476"/>
      <c r="L108" s="485"/>
      <c r="M108" s="476">
        <f t="shared" si="21"/>
        <v>0</v>
      </c>
      <c r="N108" s="485"/>
      <c r="O108" s="476">
        <f t="shared" si="22"/>
        <v>0</v>
      </c>
      <c r="P108" s="476">
        <f t="shared" si="23"/>
        <v>0</v>
      </c>
    </row>
    <row r="109" spans="1:16" ht="12.5">
      <c r="B109" s="160" t="str">
        <f t="shared" si="27"/>
        <v/>
      </c>
      <c r="C109" s="470">
        <f>IF(D93="","-",+C108+1)</f>
        <v>2025</v>
      </c>
      <c r="D109" s="345">
        <f>IF(F108+SUM(E$99:E108)=D$92,F108,D$92-SUM(E$99:E108))</f>
        <v>1324782.1700000002</v>
      </c>
      <c r="E109" s="482">
        <f t="shared" si="34"/>
        <v>44527</v>
      </c>
      <c r="F109" s="483">
        <f t="shared" si="35"/>
        <v>1280255.1700000002</v>
      </c>
      <c r="G109" s="483">
        <f t="shared" si="36"/>
        <v>1302518.6700000002</v>
      </c>
      <c r="H109" s="484">
        <f t="shared" si="37"/>
        <v>193309.8692238142</v>
      </c>
      <c r="I109" s="540">
        <f t="shared" si="38"/>
        <v>193309.8692238142</v>
      </c>
      <c r="J109" s="476">
        <f t="shared" si="28"/>
        <v>0</v>
      </c>
      <c r="K109" s="476"/>
      <c r="L109" s="485"/>
      <c r="M109" s="476">
        <f t="shared" si="21"/>
        <v>0</v>
      </c>
      <c r="N109" s="485"/>
      <c r="O109" s="476">
        <f t="shared" si="22"/>
        <v>0</v>
      </c>
      <c r="P109" s="476">
        <f t="shared" si="23"/>
        <v>0</v>
      </c>
    </row>
    <row r="110" spans="1:16" ht="12.5">
      <c r="B110" s="160" t="str">
        <f t="shared" si="27"/>
        <v/>
      </c>
      <c r="C110" s="470">
        <f>IF(D93="","-",+C109+1)</f>
        <v>2026</v>
      </c>
      <c r="D110" s="345">
        <f>IF(F109+SUM(E$99:E109)=D$92,F109,D$92-SUM(E$99:E109))</f>
        <v>1280255.1700000002</v>
      </c>
      <c r="E110" s="482">
        <f t="shared" si="34"/>
        <v>44527</v>
      </c>
      <c r="F110" s="483">
        <f t="shared" si="35"/>
        <v>1235728.1700000002</v>
      </c>
      <c r="G110" s="483">
        <f t="shared" si="36"/>
        <v>1257991.6700000002</v>
      </c>
      <c r="H110" s="484">
        <f t="shared" si="37"/>
        <v>188223.68123241383</v>
      </c>
      <c r="I110" s="540">
        <f t="shared" si="38"/>
        <v>188223.68123241383</v>
      </c>
      <c r="J110" s="476">
        <f t="shared" si="28"/>
        <v>0</v>
      </c>
      <c r="K110" s="476"/>
      <c r="L110" s="485"/>
      <c r="M110" s="476">
        <f t="shared" si="21"/>
        <v>0</v>
      </c>
      <c r="N110" s="485"/>
      <c r="O110" s="476">
        <f t="shared" si="22"/>
        <v>0</v>
      </c>
      <c r="P110" s="476">
        <f t="shared" si="23"/>
        <v>0</v>
      </c>
    </row>
    <row r="111" spans="1:16" ht="12.5">
      <c r="B111" s="160" t="str">
        <f t="shared" si="27"/>
        <v/>
      </c>
      <c r="C111" s="470">
        <f>IF(D93="","-",+C110+1)</f>
        <v>2027</v>
      </c>
      <c r="D111" s="345">
        <f>IF(F110+SUM(E$99:E110)=D$92,F110,D$92-SUM(E$99:E110))</f>
        <v>1235728.1700000002</v>
      </c>
      <c r="E111" s="482">
        <f t="shared" si="34"/>
        <v>44527</v>
      </c>
      <c r="F111" s="483">
        <f t="shared" si="35"/>
        <v>1191201.1700000002</v>
      </c>
      <c r="G111" s="483">
        <f t="shared" si="36"/>
        <v>1213464.6700000002</v>
      </c>
      <c r="H111" s="484">
        <f t="shared" si="37"/>
        <v>183137.49324101346</v>
      </c>
      <c r="I111" s="540">
        <f t="shared" si="38"/>
        <v>183137.49324101346</v>
      </c>
      <c r="J111" s="476">
        <f t="shared" si="28"/>
        <v>0</v>
      </c>
      <c r="K111" s="476"/>
      <c r="L111" s="485"/>
      <c r="M111" s="476">
        <f t="shared" si="21"/>
        <v>0</v>
      </c>
      <c r="N111" s="485"/>
      <c r="O111" s="476">
        <f t="shared" si="22"/>
        <v>0</v>
      </c>
      <c r="P111" s="476">
        <f t="shared" si="23"/>
        <v>0</v>
      </c>
    </row>
    <row r="112" spans="1:16" ht="12.5">
      <c r="B112" s="160" t="str">
        <f t="shared" si="27"/>
        <v/>
      </c>
      <c r="C112" s="470">
        <f>IF(D93="","-",+C111+1)</f>
        <v>2028</v>
      </c>
      <c r="D112" s="345">
        <f>IF(F111+SUM(E$99:E111)=D$92,F111,D$92-SUM(E$99:E111))</f>
        <v>1191201.1700000002</v>
      </c>
      <c r="E112" s="482">
        <f t="shared" si="34"/>
        <v>44527</v>
      </c>
      <c r="F112" s="483">
        <f t="shared" si="35"/>
        <v>1146674.1700000002</v>
      </c>
      <c r="G112" s="483">
        <f t="shared" si="36"/>
        <v>1168937.6700000002</v>
      </c>
      <c r="H112" s="484">
        <f t="shared" si="37"/>
        <v>178051.3052496131</v>
      </c>
      <c r="I112" s="540">
        <f t="shared" si="38"/>
        <v>178051.3052496131</v>
      </c>
      <c r="J112" s="476">
        <f t="shared" si="28"/>
        <v>0</v>
      </c>
      <c r="K112" s="476"/>
      <c r="L112" s="485"/>
      <c r="M112" s="476">
        <f t="shared" si="21"/>
        <v>0</v>
      </c>
      <c r="N112" s="485"/>
      <c r="O112" s="476">
        <f t="shared" si="22"/>
        <v>0</v>
      </c>
      <c r="P112" s="476">
        <f t="shared" si="23"/>
        <v>0</v>
      </c>
    </row>
    <row r="113" spans="2:16" ht="12.5">
      <c r="B113" s="160" t="str">
        <f t="shared" si="27"/>
        <v/>
      </c>
      <c r="C113" s="470">
        <f>IF(D93="","-",+C112+1)</f>
        <v>2029</v>
      </c>
      <c r="D113" s="345">
        <f>IF(F112+SUM(E$99:E112)=D$92,F112,D$92-SUM(E$99:E112))</f>
        <v>1146674.1700000002</v>
      </c>
      <c r="E113" s="482">
        <f t="shared" si="34"/>
        <v>44527</v>
      </c>
      <c r="F113" s="483">
        <f t="shared" si="35"/>
        <v>1102147.1700000002</v>
      </c>
      <c r="G113" s="483">
        <f t="shared" si="36"/>
        <v>1124410.6700000002</v>
      </c>
      <c r="H113" s="484">
        <f t="shared" si="37"/>
        <v>172965.11725821273</v>
      </c>
      <c r="I113" s="540">
        <f t="shared" si="38"/>
        <v>172965.11725821273</v>
      </c>
      <c r="J113" s="476">
        <f t="shared" si="28"/>
        <v>0</v>
      </c>
      <c r="K113" s="476"/>
      <c r="L113" s="485"/>
      <c r="M113" s="476">
        <f t="shared" si="21"/>
        <v>0</v>
      </c>
      <c r="N113" s="485"/>
      <c r="O113" s="476">
        <f t="shared" si="22"/>
        <v>0</v>
      </c>
      <c r="P113" s="476">
        <f t="shared" si="23"/>
        <v>0</v>
      </c>
    </row>
    <row r="114" spans="2:16" ht="12.5">
      <c r="B114" s="160" t="str">
        <f t="shared" si="27"/>
        <v/>
      </c>
      <c r="C114" s="470">
        <f>IF(D93="","-",+C113+1)</f>
        <v>2030</v>
      </c>
      <c r="D114" s="345">
        <f>IF(F113+SUM(E$99:E113)=D$92,F113,D$92-SUM(E$99:E113))</f>
        <v>1102147.1700000002</v>
      </c>
      <c r="E114" s="482">
        <f t="shared" si="34"/>
        <v>44527</v>
      </c>
      <c r="F114" s="483">
        <f t="shared" si="35"/>
        <v>1057620.1700000002</v>
      </c>
      <c r="G114" s="483">
        <f t="shared" si="36"/>
        <v>1079883.6700000002</v>
      </c>
      <c r="H114" s="484">
        <f t="shared" si="37"/>
        <v>167878.92926681237</v>
      </c>
      <c r="I114" s="540">
        <f t="shared" si="38"/>
        <v>167878.92926681237</v>
      </c>
      <c r="J114" s="476">
        <f t="shared" si="28"/>
        <v>0</v>
      </c>
      <c r="K114" s="476"/>
      <c r="L114" s="485"/>
      <c r="M114" s="476">
        <f t="shared" si="21"/>
        <v>0</v>
      </c>
      <c r="N114" s="485"/>
      <c r="O114" s="476">
        <f t="shared" si="22"/>
        <v>0</v>
      </c>
      <c r="P114" s="476">
        <f t="shared" si="23"/>
        <v>0</v>
      </c>
    </row>
    <row r="115" spans="2:16" ht="12.5">
      <c r="B115" s="160" t="str">
        <f t="shared" si="27"/>
        <v/>
      </c>
      <c r="C115" s="470">
        <f>IF(D93="","-",+C114+1)</f>
        <v>2031</v>
      </c>
      <c r="D115" s="345">
        <f>IF(F114+SUM(E$99:E114)=D$92,F114,D$92-SUM(E$99:E114))</f>
        <v>1057620.1700000002</v>
      </c>
      <c r="E115" s="482">
        <f t="shared" si="34"/>
        <v>44527</v>
      </c>
      <c r="F115" s="483">
        <f t="shared" si="35"/>
        <v>1013093.1700000002</v>
      </c>
      <c r="G115" s="483">
        <f t="shared" si="36"/>
        <v>1035356.6700000002</v>
      </c>
      <c r="H115" s="484">
        <f t="shared" si="37"/>
        <v>162792.741275412</v>
      </c>
      <c r="I115" s="540">
        <f t="shared" si="38"/>
        <v>162792.741275412</v>
      </c>
      <c r="J115" s="476">
        <f t="shared" si="28"/>
        <v>0</v>
      </c>
      <c r="K115" s="476"/>
      <c r="L115" s="485"/>
      <c r="M115" s="476">
        <f t="shared" si="21"/>
        <v>0</v>
      </c>
      <c r="N115" s="485"/>
      <c r="O115" s="476">
        <f t="shared" si="22"/>
        <v>0</v>
      </c>
      <c r="P115" s="476">
        <f t="shared" si="23"/>
        <v>0</v>
      </c>
    </row>
    <row r="116" spans="2:16" ht="12.5">
      <c r="B116" s="160" t="str">
        <f t="shared" si="27"/>
        <v/>
      </c>
      <c r="C116" s="470">
        <f>IF(D93="","-",+C115+1)</f>
        <v>2032</v>
      </c>
      <c r="D116" s="345">
        <f>IF(F115+SUM(E$99:E115)=D$92,F115,D$92-SUM(E$99:E115))</f>
        <v>1013093.1700000002</v>
      </c>
      <c r="E116" s="482">
        <f t="shared" si="34"/>
        <v>44527</v>
      </c>
      <c r="F116" s="483">
        <f t="shared" si="35"/>
        <v>968566.17000000016</v>
      </c>
      <c r="G116" s="483">
        <f t="shared" si="36"/>
        <v>990829.67000000016</v>
      </c>
      <c r="H116" s="484">
        <f t="shared" si="37"/>
        <v>157706.55328401164</v>
      </c>
      <c r="I116" s="540">
        <f t="shared" si="38"/>
        <v>157706.55328401164</v>
      </c>
      <c r="J116" s="476">
        <f t="shared" si="28"/>
        <v>0</v>
      </c>
      <c r="K116" s="476"/>
      <c r="L116" s="485"/>
      <c r="M116" s="476">
        <f t="shared" si="21"/>
        <v>0</v>
      </c>
      <c r="N116" s="485"/>
      <c r="O116" s="476">
        <f t="shared" si="22"/>
        <v>0</v>
      </c>
      <c r="P116" s="476">
        <f t="shared" si="23"/>
        <v>0</v>
      </c>
    </row>
    <row r="117" spans="2:16" ht="12.5">
      <c r="B117" s="160" t="str">
        <f t="shared" si="27"/>
        <v/>
      </c>
      <c r="C117" s="470">
        <f>IF(D93="","-",+C116+1)</f>
        <v>2033</v>
      </c>
      <c r="D117" s="345">
        <f>IF(F116+SUM(E$99:E116)=D$92,F116,D$92-SUM(E$99:E116))</f>
        <v>968566.17000000016</v>
      </c>
      <c r="E117" s="482">
        <f t="shared" si="34"/>
        <v>44527</v>
      </c>
      <c r="F117" s="483">
        <f t="shared" si="35"/>
        <v>924039.17000000016</v>
      </c>
      <c r="G117" s="483">
        <f t="shared" si="36"/>
        <v>946302.67000000016</v>
      </c>
      <c r="H117" s="484">
        <f t="shared" si="37"/>
        <v>152620.36529261127</v>
      </c>
      <c r="I117" s="540">
        <f t="shared" si="38"/>
        <v>152620.36529261127</v>
      </c>
      <c r="J117" s="476">
        <f t="shared" si="28"/>
        <v>0</v>
      </c>
      <c r="K117" s="476"/>
      <c r="L117" s="485"/>
      <c r="M117" s="476">
        <f t="shared" si="21"/>
        <v>0</v>
      </c>
      <c r="N117" s="485"/>
      <c r="O117" s="476">
        <f t="shared" si="22"/>
        <v>0</v>
      </c>
      <c r="P117" s="476">
        <f t="shared" si="23"/>
        <v>0</v>
      </c>
    </row>
    <row r="118" spans="2:16" ht="12.5">
      <c r="B118" s="160" t="str">
        <f t="shared" si="27"/>
        <v/>
      </c>
      <c r="C118" s="470">
        <f>IF(D93="","-",+C117+1)</f>
        <v>2034</v>
      </c>
      <c r="D118" s="345">
        <f>IF(F117+SUM(E$99:E117)=D$92,F117,D$92-SUM(E$99:E117))</f>
        <v>924039.17000000016</v>
      </c>
      <c r="E118" s="482">
        <f t="shared" si="34"/>
        <v>44527</v>
      </c>
      <c r="F118" s="483">
        <f t="shared" si="35"/>
        <v>879512.17000000016</v>
      </c>
      <c r="G118" s="483">
        <f t="shared" si="36"/>
        <v>901775.67000000016</v>
      </c>
      <c r="H118" s="484">
        <f t="shared" si="37"/>
        <v>147534.1773012109</v>
      </c>
      <c r="I118" s="540">
        <f t="shared" si="38"/>
        <v>147534.1773012109</v>
      </c>
      <c r="J118" s="476">
        <f t="shared" si="28"/>
        <v>0</v>
      </c>
      <c r="K118" s="476"/>
      <c r="L118" s="485"/>
      <c r="M118" s="476">
        <f t="shared" si="21"/>
        <v>0</v>
      </c>
      <c r="N118" s="485"/>
      <c r="O118" s="476">
        <f t="shared" si="22"/>
        <v>0</v>
      </c>
      <c r="P118" s="476">
        <f t="shared" si="23"/>
        <v>0</v>
      </c>
    </row>
    <row r="119" spans="2:16" ht="12.5">
      <c r="B119" s="160" t="str">
        <f t="shared" si="27"/>
        <v/>
      </c>
      <c r="C119" s="470">
        <f>IF(D93="","-",+C118+1)</f>
        <v>2035</v>
      </c>
      <c r="D119" s="345">
        <f>IF(F118+SUM(E$99:E118)=D$92,F118,D$92-SUM(E$99:E118))</f>
        <v>879512.17000000016</v>
      </c>
      <c r="E119" s="482">
        <f t="shared" si="34"/>
        <v>44527</v>
      </c>
      <c r="F119" s="483">
        <f t="shared" si="35"/>
        <v>834985.17000000016</v>
      </c>
      <c r="G119" s="483">
        <f t="shared" si="36"/>
        <v>857248.67000000016</v>
      </c>
      <c r="H119" s="484">
        <f t="shared" si="37"/>
        <v>142447.98930981057</v>
      </c>
      <c r="I119" s="540">
        <f t="shared" si="38"/>
        <v>142447.98930981057</v>
      </c>
      <c r="J119" s="476">
        <f t="shared" si="28"/>
        <v>0</v>
      </c>
      <c r="K119" s="476"/>
      <c r="L119" s="485"/>
      <c r="M119" s="476">
        <f t="shared" si="21"/>
        <v>0</v>
      </c>
      <c r="N119" s="485"/>
      <c r="O119" s="476">
        <f t="shared" si="22"/>
        <v>0</v>
      </c>
      <c r="P119" s="476">
        <f t="shared" si="23"/>
        <v>0</v>
      </c>
    </row>
    <row r="120" spans="2:16" ht="12.5">
      <c r="B120" s="160" t="str">
        <f t="shared" si="27"/>
        <v/>
      </c>
      <c r="C120" s="470">
        <f>IF(D93="","-",+C119+1)</f>
        <v>2036</v>
      </c>
      <c r="D120" s="345">
        <f>IF(F119+SUM(E$99:E119)=D$92,F119,D$92-SUM(E$99:E119))</f>
        <v>834985.17000000016</v>
      </c>
      <c r="E120" s="482">
        <f t="shared" si="34"/>
        <v>44527</v>
      </c>
      <c r="F120" s="483">
        <f t="shared" si="35"/>
        <v>790458.17000000016</v>
      </c>
      <c r="G120" s="483">
        <f t="shared" si="36"/>
        <v>812721.67000000016</v>
      </c>
      <c r="H120" s="484">
        <f t="shared" si="37"/>
        <v>137361.8013184102</v>
      </c>
      <c r="I120" s="540">
        <f t="shared" si="38"/>
        <v>137361.8013184102</v>
      </c>
      <c r="J120" s="476">
        <f t="shared" si="28"/>
        <v>0</v>
      </c>
      <c r="K120" s="476"/>
      <c r="L120" s="485"/>
      <c r="M120" s="476">
        <f t="shared" si="21"/>
        <v>0</v>
      </c>
      <c r="N120" s="485"/>
      <c r="O120" s="476">
        <f t="shared" si="22"/>
        <v>0</v>
      </c>
      <c r="P120" s="476">
        <f t="shared" si="23"/>
        <v>0</v>
      </c>
    </row>
    <row r="121" spans="2:16" ht="12.5">
      <c r="B121" s="160" t="str">
        <f t="shared" si="27"/>
        <v/>
      </c>
      <c r="C121" s="470">
        <f>IF(D93="","-",+C120+1)</f>
        <v>2037</v>
      </c>
      <c r="D121" s="345">
        <f>IF(F120+SUM(E$99:E120)=D$92,F120,D$92-SUM(E$99:E120))</f>
        <v>790458.17000000016</v>
      </c>
      <c r="E121" s="482">
        <f t="shared" si="34"/>
        <v>44527</v>
      </c>
      <c r="F121" s="483">
        <f t="shared" si="35"/>
        <v>745931.17000000016</v>
      </c>
      <c r="G121" s="483">
        <f t="shared" si="36"/>
        <v>768194.67000000016</v>
      </c>
      <c r="H121" s="484">
        <f t="shared" si="37"/>
        <v>132275.61332700984</v>
      </c>
      <c r="I121" s="540">
        <f t="shared" si="38"/>
        <v>132275.61332700984</v>
      </c>
      <c r="J121" s="476">
        <f t="shared" si="28"/>
        <v>0</v>
      </c>
      <c r="K121" s="476"/>
      <c r="L121" s="485"/>
      <c r="M121" s="476">
        <f t="shared" si="21"/>
        <v>0</v>
      </c>
      <c r="N121" s="485"/>
      <c r="O121" s="476">
        <f t="shared" si="22"/>
        <v>0</v>
      </c>
      <c r="P121" s="476">
        <f t="shared" si="23"/>
        <v>0</v>
      </c>
    </row>
    <row r="122" spans="2:16" ht="12.5">
      <c r="B122" s="160" t="str">
        <f t="shared" si="27"/>
        <v/>
      </c>
      <c r="C122" s="470">
        <f>IF(D93="","-",+C121+1)</f>
        <v>2038</v>
      </c>
      <c r="D122" s="345">
        <f>IF(F121+SUM(E$99:E121)=D$92,F121,D$92-SUM(E$99:E121))</f>
        <v>745931.17000000016</v>
      </c>
      <c r="E122" s="482">
        <f t="shared" si="34"/>
        <v>44527</v>
      </c>
      <c r="F122" s="483">
        <f t="shared" si="35"/>
        <v>701404.17000000016</v>
      </c>
      <c r="G122" s="483">
        <f t="shared" si="36"/>
        <v>723667.67000000016</v>
      </c>
      <c r="H122" s="484">
        <f t="shared" si="37"/>
        <v>127189.42533560946</v>
      </c>
      <c r="I122" s="540">
        <f t="shared" si="38"/>
        <v>127189.42533560946</v>
      </c>
      <c r="J122" s="476">
        <f t="shared" si="28"/>
        <v>0</v>
      </c>
      <c r="K122" s="476"/>
      <c r="L122" s="485"/>
      <c r="M122" s="476">
        <f t="shared" si="21"/>
        <v>0</v>
      </c>
      <c r="N122" s="485"/>
      <c r="O122" s="476">
        <f t="shared" si="22"/>
        <v>0</v>
      </c>
      <c r="P122" s="476">
        <f t="shared" si="23"/>
        <v>0</v>
      </c>
    </row>
    <row r="123" spans="2:16" ht="12.5">
      <c r="B123" s="160" t="str">
        <f t="shared" si="27"/>
        <v/>
      </c>
      <c r="C123" s="470">
        <f>IF(D93="","-",+C122+1)</f>
        <v>2039</v>
      </c>
      <c r="D123" s="345">
        <f>IF(F122+SUM(E$99:E122)=D$92,F122,D$92-SUM(E$99:E122))</f>
        <v>701404.17000000016</v>
      </c>
      <c r="E123" s="482">
        <f t="shared" si="34"/>
        <v>44527</v>
      </c>
      <c r="F123" s="483">
        <f t="shared" si="35"/>
        <v>656877.17000000016</v>
      </c>
      <c r="G123" s="483">
        <f t="shared" si="36"/>
        <v>679140.67000000016</v>
      </c>
      <c r="H123" s="484">
        <f t="shared" si="37"/>
        <v>122103.23734420909</v>
      </c>
      <c r="I123" s="540">
        <f t="shared" si="38"/>
        <v>122103.23734420909</v>
      </c>
      <c r="J123" s="476">
        <f t="shared" si="28"/>
        <v>0</v>
      </c>
      <c r="K123" s="476"/>
      <c r="L123" s="485"/>
      <c r="M123" s="476">
        <f t="shared" si="21"/>
        <v>0</v>
      </c>
      <c r="N123" s="485"/>
      <c r="O123" s="476">
        <f t="shared" si="22"/>
        <v>0</v>
      </c>
      <c r="P123" s="476">
        <f t="shared" si="23"/>
        <v>0</v>
      </c>
    </row>
    <row r="124" spans="2:16" ht="12.5">
      <c r="B124" s="160" t="str">
        <f t="shared" si="27"/>
        <v/>
      </c>
      <c r="C124" s="470">
        <f>IF(D93="","-",+C123+1)</f>
        <v>2040</v>
      </c>
      <c r="D124" s="345">
        <f>IF(F123+SUM(E$99:E123)=D$92,F123,D$92-SUM(E$99:E123))</f>
        <v>656877.17000000016</v>
      </c>
      <c r="E124" s="482">
        <f t="shared" si="34"/>
        <v>44527</v>
      </c>
      <c r="F124" s="483">
        <f t="shared" si="35"/>
        <v>612350.17000000016</v>
      </c>
      <c r="G124" s="483">
        <f t="shared" si="36"/>
        <v>634613.67000000016</v>
      </c>
      <c r="H124" s="484">
        <f t="shared" si="37"/>
        <v>117017.04935280872</v>
      </c>
      <c r="I124" s="540">
        <f t="shared" si="38"/>
        <v>117017.04935280872</v>
      </c>
      <c r="J124" s="476">
        <f t="shared" si="28"/>
        <v>0</v>
      </c>
      <c r="K124" s="476"/>
      <c r="L124" s="485"/>
      <c r="M124" s="476">
        <f t="shared" si="21"/>
        <v>0</v>
      </c>
      <c r="N124" s="485"/>
      <c r="O124" s="476">
        <f t="shared" si="22"/>
        <v>0</v>
      </c>
      <c r="P124" s="476">
        <f t="shared" si="23"/>
        <v>0</v>
      </c>
    </row>
    <row r="125" spans="2:16" ht="12.5">
      <c r="B125" s="160" t="str">
        <f t="shared" si="27"/>
        <v/>
      </c>
      <c r="C125" s="470">
        <f>IF(D93="","-",+C124+1)</f>
        <v>2041</v>
      </c>
      <c r="D125" s="345">
        <f>IF(F124+SUM(E$99:E124)=D$92,F124,D$92-SUM(E$99:E124))</f>
        <v>612350.17000000016</v>
      </c>
      <c r="E125" s="482">
        <f t="shared" si="34"/>
        <v>44527</v>
      </c>
      <c r="F125" s="483">
        <f t="shared" si="35"/>
        <v>567823.17000000016</v>
      </c>
      <c r="G125" s="483">
        <f t="shared" si="36"/>
        <v>590086.67000000016</v>
      </c>
      <c r="H125" s="484">
        <f t="shared" si="37"/>
        <v>111930.86136140836</v>
      </c>
      <c r="I125" s="540">
        <f t="shared" si="38"/>
        <v>111930.86136140836</v>
      </c>
      <c r="J125" s="476">
        <f t="shared" si="28"/>
        <v>0</v>
      </c>
      <c r="K125" s="476"/>
      <c r="L125" s="485"/>
      <c r="M125" s="476">
        <f t="shared" si="21"/>
        <v>0</v>
      </c>
      <c r="N125" s="485"/>
      <c r="O125" s="476">
        <f t="shared" si="22"/>
        <v>0</v>
      </c>
      <c r="P125" s="476">
        <f t="shared" si="23"/>
        <v>0</v>
      </c>
    </row>
    <row r="126" spans="2:16" ht="12.5">
      <c r="B126" s="160" t="str">
        <f t="shared" si="27"/>
        <v/>
      </c>
      <c r="C126" s="470">
        <f>IF(D93="","-",+C125+1)</f>
        <v>2042</v>
      </c>
      <c r="D126" s="345">
        <f>IF(F125+SUM(E$99:E125)=D$92,F125,D$92-SUM(E$99:E125))</f>
        <v>567823.17000000016</v>
      </c>
      <c r="E126" s="482">
        <f t="shared" si="34"/>
        <v>44527</v>
      </c>
      <c r="F126" s="483">
        <f t="shared" si="35"/>
        <v>523296.17000000016</v>
      </c>
      <c r="G126" s="483">
        <f t="shared" si="36"/>
        <v>545559.67000000016</v>
      </c>
      <c r="H126" s="484">
        <f t="shared" si="37"/>
        <v>106844.67337000801</v>
      </c>
      <c r="I126" s="540">
        <f t="shared" si="38"/>
        <v>106844.67337000801</v>
      </c>
      <c r="J126" s="476">
        <f t="shared" si="28"/>
        <v>0</v>
      </c>
      <c r="K126" s="476"/>
      <c r="L126" s="485"/>
      <c r="M126" s="476">
        <f t="shared" si="21"/>
        <v>0</v>
      </c>
      <c r="N126" s="485"/>
      <c r="O126" s="476">
        <f t="shared" si="22"/>
        <v>0</v>
      </c>
      <c r="P126" s="476">
        <f t="shared" si="23"/>
        <v>0</v>
      </c>
    </row>
    <row r="127" spans="2:16" ht="12.5">
      <c r="B127" s="160" t="str">
        <f t="shared" si="27"/>
        <v/>
      </c>
      <c r="C127" s="470">
        <f>IF(D93="","-",+C126+1)</f>
        <v>2043</v>
      </c>
      <c r="D127" s="345">
        <f>IF(F126+SUM(E$99:E126)=D$92,F126,D$92-SUM(E$99:E126))</f>
        <v>523296.17000000016</v>
      </c>
      <c r="E127" s="482">
        <f t="shared" si="34"/>
        <v>44527</v>
      </c>
      <c r="F127" s="483">
        <f t="shared" si="35"/>
        <v>478769.17000000016</v>
      </c>
      <c r="G127" s="483">
        <f t="shared" si="36"/>
        <v>501032.67000000016</v>
      </c>
      <c r="H127" s="484">
        <f t="shared" si="37"/>
        <v>101758.48537860764</v>
      </c>
      <c r="I127" s="540">
        <f t="shared" si="38"/>
        <v>101758.48537860764</v>
      </c>
      <c r="J127" s="476">
        <f t="shared" si="28"/>
        <v>0</v>
      </c>
      <c r="K127" s="476"/>
      <c r="L127" s="485"/>
      <c r="M127" s="476">
        <f t="shared" si="21"/>
        <v>0</v>
      </c>
      <c r="N127" s="485"/>
      <c r="O127" s="476">
        <f t="shared" si="22"/>
        <v>0</v>
      </c>
      <c r="P127" s="476">
        <f t="shared" si="23"/>
        <v>0</v>
      </c>
    </row>
    <row r="128" spans="2:16" ht="12.5">
      <c r="B128" s="160" t="str">
        <f t="shared" si="27"/>
        <v/>
      </c>
      <c r="C128" s="470">
        <f>IF(D93="","-",+C127+1)</f>
        <v>2044</v>
      </c>
      <c r="D128" s="345">
        <f>IF(F127+SUM(E$99:E127)=D$92,F127,D$92-SUM(E$99:E127))</f>
        <v>478769.17000000016</v>
      </c>
      <c r="E128" s="482">
        <f t="shared" si="34"/>
        <v>44527</v>
      </c>
      <c r="F128" s="483">
        <f t="shared" si="35"/>
        <v>434242.17000000016</v>
      </c>
      <c r="G128" s="483">
        <f t="shared" si="36"/>
        <v>456505.67000000016</v>
      </c>
      <c r="H128" s="484">
        <f t="shared" si="37"/>
        <v>96672.297387207276</v>
      </c>
      <c r="I128" s="540">
        <f t="shared" si="38"/>
        <v>96672.297387207276</v>
      </c>
      <c r="J128" s="476">
        <f t="shared" si="28"/>
        <v>0</v>
      </c>
      <c r="K128" s="476"/>
      <c r="L128" s="485"/>
      <c r="M128" s="476">
        <f t="shared" si="21"/>
        <v>0</v>
      </c>
      <c r="N128" s="485"/>
      <c r="O128" s="476">
        <f t="shared" si="22"/>
        <v>0</v>
      </c>
      <c r="P128" s="476">
        <f t="shared" si="23"/>
        <v>0</v>
      </c>
    </row>
    <row r="129" spans="2:16" ht="12.5">
      <c r="B129" s="160" t="str">
        <f t="shared" si="27"/>
        <v/>
      </c>
      <c r="C129" s="470">
        <f>IF(D93="","-",+C128+1)</f>
        <v>2045</v>
      </c>
      <c r="D129" s="345">
        <f>IF(F128+SUM(E$99:E128)=D$92,F128,D$92-SUM(E$99:E128))</f>
        <v>434242.17000000016</v>
      </c>
      <c r="E129" s="482">
        <f t="shared" si="34"/>
        <v>44527</v>
      </c>
      <c r="F129" s="483">
        <f t="shared" si="35"/>
        <v>389715.17000000016</v>
      </c>
      <c r="G129" s="483">
        <f t="shared" si="36"/>
        <v>411978.67000000016</v>
      </c>
      <c r="H129" s="484">
        <f t="shared" si="37"/>
        <v>91586.10939580691</v>
      </c>
      <c r="I129" s="540">
        <f t="shared" si="38"/>
        <v>91586.10939580691</v>
      </c>
      <c r="J129" s="476">
        <f t="shared" si="28"/>
        <v>0</v>
      </c>
      <c r="K129" s="476"/>
      <c r="L129" s="485"/>
      <c r="M129" s="476">
        <f t="shared" si="21"/>
        <v>0</v>
      </c>
      <c r="N129" s="485"/>
      <c r="O129" s="476">
        <f t="shared" si="22"/>
        <v>0</v>
      </c>
      <c r="P129" s="476">
        <f t="shared" si="23"/>
        <v>0</v>
      </c>
    </row>
    <row r="130" spans="2:16" ht="12.5">
      <c r="B130" s="160" t="str">
        <f t="shared" si="27"/>
        <v/>
      </c>
      <c r="C130" s="470">
        <f>IF(D93="","-",+C129+1)</f>
        <v>2046</v>
      </c>
      <c r="D130" s="345">
        <f>IF(F129+SUM(E$99:E129)=D$92,F129,D$92-SUM(E$99:E129))</f>
        <v>389715.17000000016</v>
      </c>
      <c r="E130" s="482">
        <f t="shared" si="34"/>
        <v>44527</v>
      </c>
      <c r="F130" s="483">
        <f t="shared" si="35"/>
        <v>345188.17000000016</v>
      </c>
      <c r="G130" s="483">
        <f t="shared" si="36"/>
        <v>367451.67000000016</v>
      </c>
      <c r="H130" s="484">
        <f t="shared" si="37"/>
        <v>86499.921404406545</v>
      </c>
      <c r="I130" s="540">
        <f t="shared" si="38"/>
        <v>86499.921404406545</v>
      </c>
      <c r="J130" s="476">
        <f t="shared" si="28"/>
        <v>0</v>
      </c>
      <c r="K130" s="476"/>
      <c r="L130" s="485"/>
      <c r="M130" s="476">
        <f t="shared" si="21"/>
        <v>0</v>
      </c>
      <c r="N130" s="485"/>
      <c r="O130" s="476">
        <f t="shared" si="22"/>
        <v>0</v>
      </c>
      <c r="P130" s="476">
        <f t="shared" si="23"/>
        <v>0</v>
      </c>
    </row>
    <row r="131" spans="2:16" ht="12.5">
      <c r="B131" s="160" t="str">
        <f t="shared" si="27"/>
        <v/>
      </c>
      <c r="C131" s="470">
        <f>IF(D93="","-",+C130+1)</f>
        <v>2047</v>
      </c>
      <c r="D131" s="345">
        <f>IF(F130+SUM(E$99:E130)=D$92,F130,D$92-SUM(E$99:E130))</f>
        <v>345188.17000000016</v>
      </c>
      <c r="E131" s="482">
        <f t="shared" si="34"/>
        <v>44527</v>
      </c>
      <c r="F131" s="483">
        <f t="shared" si="35"/>
        <v>300661.17000000016</v>
      </c>
      <c r="G131" s="483">
        <f t="shared" si="36"/>
        <v>322924.67000000016</v>
      </c>
      <c r="H131" s="484">
        <f t="shared" si="37"/>
        <v>81413.733413006179</v>
      </c>
      <c r="I131" s="540">
        <f t="shared" si="38"/>
        <v>81413.733413006179</v>
      </c>
      <c r="J131" s="476">
        <f t="shared" si="28"/>
        <v>0</v>
      </c>
      <c r="K131" s="476"/>
      <c r="L131" s="485"/>
      <c r="M131" s="476">
        <f t="shared" ref="M131:M154" si="39">IF(L541&lt;&gt;0,+H541-L541,0)</f>
        <v>0</v>
      </c>
      <c r="N131" s="485"/>
      <c r="O131" s="476">
        <f t="shared" ref="O131:O154" si="40">IF(N541&lt;&gt;0,+I541-N541,0)</f>
        <v>0</v>
      </c>
      <c r="P131" s="476">
        <f t="shared" ref="P131:P154" si="41">+O541-M541</f>
        <v>0</v>
      </c>
    </row>
    <row r="132" spans="2:16" ht="12.5">
      <c r="B132" s="160" t="str">
        <f t="shared" si="27"/>
        <v/>
      </c>
      <c r="C132" s="470">
        <f>IF(D93="","-",+C131+1)</f>
        <v>2048</v>
      </c>
      <c r="D132" s="345">
        <f>IF(F131+SUM(E$99:E131)=D$92,F131,D$92-SUM(E$99:E131))</f>
        <v>300661.17000000016</v>
      </c>
      <c r="E132" s="482">
        <f t="shared" si="34"/>
        <v>44527</v>
      </c>
      <c r="F132" s="483">
        <f t="shared" si="35"/>
        <v>256134.17000000016</v>
      </c>
      <c r="G132" s="483">
        <f t="shared" si="36"/>
        <v>278397.67000000016</v>
      </c>
      <c r="H132" s="484">
        <f t="shared" si="37"/>
        <v>76327.545421605813</v>
      </c>
      <c r="I132" s="540">
        <f t="shared" si="38"/>
        <v>76327.545421605813</v>
      </c>
      <c r="J132" s="476">
        <f t="shared" si="28"/>
        <v>0</v>
      </c>
      <c r="K132" s="476"/>
      <c r="L132" s="485"/>
      <c r="M132" s="476">
        <f t="shared" si="39"/>
        <v>0</v>
      </c>
      <c r="N132" s="485"/>
      <c r="O132" s="476">
        <f t="shared" si="40"/>
        <v>0</v>
      </c>
      <c r="P132" s="476">
        <f t="shared" si="41"/>
        <v>0</v>
      </c>
    </row>
    <row r="133" spans="2:16" ht="12.5">
      <c r="B133" s="160" t="str">
        <f t="shared" si="27"/>
        <v/>
      </c>
      <c r="C133" s="470">
        <f>IF(D93="","-",+C132+1)</f>
        <v>2049</v>
      </c>
      <c r="D133" s="345">
        <f>IF(F132+SUM(E$99:E132)=D$92,F132,D$92-SUM(E$99:E132))</f>
        <v>256134.17000000016</v>
      </c>
      <c r="E133" s="482">
        <f t="shared" si="34"/>
        <v>44527</v>
      </c>
      <c r="F133" s="483">
        <f t="shared" si="35"/>
        <v>211607.17000000016</v>
      </c>
      <c r="G133" s="483">
        <f t="shared" si="36"/>
        <v>233870.67000000016</v>
      </c>
      <c r="H133" s="484">
        <f t="shared" si="37"/>
        <v>71241.357430205448</v>
      </c>
      <c r="I133" s="540">
        <f t="shared" si="38"/>
        <v>71241.357430205448</v>
      </c>
      <c r="J133" s="476">
        <f t="shared" si="28"/>
        <v>0</v>
      </c>
      <c r="K133" s="476"/>
      <c r="L133" s="485"/>
      <c r="M133" s="476">
        <f t="shared" si="39"/>
        <v>0</v>
      </c>
      <c r="N133" s="485"/>
      <c r="O133" s="476">
        <f t="shared" si="40"/>
        <v>0</v>
      </c>
      <c r="P133" s="476">
        <f t="shared" si="41"/>
        <v>0</v>
      </c>
    </row>
    <row r="134" spans="2:16" ht="12.5">
      <c r="B134" s="160" t="str">
        <f t="shared" si="27"/>
        <v/>
      </c>
      <c r="C134" s="470">
        <f>IF(D93="","-",+C133+1)</f>
        <v>2050</v>
      </c>
      <c r="D134" s="345">
        <f>IF(F133+SUM(E$99:E133)=D$92,F133,D$92-SUM(E$99:E133))</f>
        <v>211607.17000000016</v>
      </c>
      <c r="E134" s="482">
        <f t="shared" si="34"/>
        <v>44527</v>
      </c>
      <c r="F134" s="483">
        <f t="shared" si="35"/>
        <v>167080.17000000016</v>
      </c>
      <c r="G134" s="483">
        <f t="shared" si="36"/>
        <v>189343.67000000016</v>
      </c>
      <c r="H134" s="484">
        <f t="shared" si="37"/>
        <v>66155.169438805082</v>
      </c>
      <c r="I134" s="540">
        <f t="shared" si="38"/>
        <v>66155.169438805082</v>
      </c>
      <c r="J134" s="476">
        <f t="shared" si="28"/>
        <v>0</v>
      </c>
      <c r="K134" s="476"/>
      <c r="L134" s="485"/>
      <c r="M134" s="476">
        <f t="shared" si="39"/>
        <v>0</v>
      </c>
      <c r="N134" s="485"/>
      <c r="O134" s="476">
        <f t="shared" si="40"/>
        <v>0</v>
      </c>
      <c r="P134" s="476">
        <f t="shared" si="41"/>
        <v>0</v>
      </c>
    </row>
    <row r="135" spans="2:16" ht="12.5">
      <c r="B135" s="160" t="str">
        <f t="shared" si="27"/>
        <v/>
      </c>
      <c r="C135" s="470">
        <f>IF(D93="","-",+C134+1)</f>
        <v>2051</v>
      </c>
      <c r="D135" s="345">
        <f>IF(F134+SUM(E$99:E134)=D$92,F134,D$92-SUM(E$99:E134))</f>
        <v>167080.17000000016</v>
      </c>
      <c r="E135" s="482">
        <f t="shared" si="34"/>
        <v>44527</v>
      </c>
      <c r="F135" s="483">
        <f t="shared" si="35"/>
        <v>122553.17000000016</v>
      </c>
      <c r="G135" s="483">
        <f t="shared" si="36"/>
        <v>144816.67000000016</v>
      </c>
      <c r="H135" s="484">
        <f t="shared" si="37"/>
        <v>61068.981447404723</v>
      </c>
      <c r="I135" s="540">
        <f t="shared" si="38"/>
        <v>61068.981447404723</v>
      </c>
      <c r="J135" s="476">
        <f t="shared" si="28"/>
        <v>0</v>
      </c>
      <c r="K135" s="476"/>
      <c r="L135" s="485"/>
      <c r="M135" s="476">
        <f t="shared" si="39"/>
        <v>0</v>
      </c>
      <c r="N135" s="485"/>
      <c r="O135" s="476">
        <f t="shared" si="40"/>
        <v>0</v>
      </c>
      <c r="P135" s="476">
        <f t="shared" si="41"/>
        <v>0</v>
      </c>
    </row>
    <row r="136" spans="2:16" ht="12.5">
      <c r="B136" s="160" t="str">
        <f t="shared" si="27"/>
        <v/>
      </c>
      <c r="C136" s="470">
        <f>IF(D93="","-",+C135+1)</f>
        <v>2052</v>
      </c>
      <c r="D136" s="345">
        <f>IF(F135+SUM(E$99:E135)=D$92,F135,D$92-SUM(E$99:E135))</f>
        <v>122553.17000000016</v>
      </c>
      <c r="E136" s="482">
        <f t="shared" si="34"/>
        <v>44527</v>
      </c>
      <c r="F136" s="483">
        <f t="shared" si="35"/>
        <v>78026.170000000158</v>
      </c>
      <c r="G136" s="483">
        <f t="shared" si="36"/>
        <v>100289.67000000016</v>
      </c>
      <c r="H136" s="484">
        <f t="shared" si="37"/>
        <v>55982.793456004358</v>
      </c>
      <c r="I136" s="540">
        <f t="shared" si="38"/>
        <v>55982.793456004358</v>
      </c>
      <c r="J136" s="476">
        <f t="shared" si="28"/>
        <v>0</v>
      </c>
      <c r="K136" s="476"/>
      <c r="L136" s="485"/>
      <c r="M136" s="476">
        <f t="shared" si="39"/>
        <v>0</v>
      </c>
      <c r="N136" s="485"/>
      <c r="O136" s="476">
        <f t="shared" si="40"/>
        <v>0</v>
      </c>
      <c r="P136" s="476">
        <f t="shared" si="41"/>
        <v>0</v>
      </c>
    </row>
    <row r="137" spans="2:16" ht="12.5">
      <c r="B137" s="160" t="str">
        <f t="shared" si="27"/>
        <v/>
      </c>
      <c r="C137" s="470">
        <f>IF(D93="","-",+C136+1)</f>
        <v>2053</v>
      </c>
      <c r="D137" s="345">
        <f>IF(F136+SUM(E$99:E136)=D$92,F136,D$92-SUM(E$99:E136))</f>
        <v>78026.170000000158</v>
      </c>
      <c r="E137" s="482">
        <f t="shared" si="34"/>
        <v>44527</v>
      </c>
      <c r="F137" s="483">
        <f t="shared" si="35"/>
        <v>33499.170000000158</v>
      </c>
      <c r="G137" s="483">
        <f t="shared" si="36"/>
        <v>55762.670000000158</v>
      </c>
      <c r="H137" s="484">
        <f t="shared" si="37"/>
        <v>50896.605464603999</v>
      </c>
      <c r="I137" s="540">
        <f t="shared" si="38"/>
        <v>50896.605464603999</v>
      </c>
      <c r="J137" s="476">
        <f t="shared" si="28"/>
        <v>0</v>
      </c>
      <c r="K137" s="476"/>
      <c r="L137" s="485"/>
      <c r="M137" s="476">
        <f t="shared" si="39"/>
        <v>0</v>
      </c>
      <c r="N137" s="485"/>
      <c r="O137" s="476">
        <f t="shared" si="40"/>
        <v>0</v>
      </c>
      <c r="P137" s="476">
        <f t="shared" si="41"/>
        <v>0</v>
      </c>
    </row>
    <row r="138" spans="2:16" ht="12.5">
      <c r="B138" s="160" t="str">
        <f t="shared" si="27"/>
        <v/>
      </c>
      <c r="C138" s="470">
        <f>IF(D93="","-",+C137+1)</f>
        <v>2054</v>
      </c>
      <c r="D138" s="345">
        <f>IF(F137+SUM(E$99:E137)=D$92,F137,D$92-SUM(E$99:E137))</f>
        <v>33499.170000000158</v>
      </c>
      <c r="E138" s="482">
        <f t="shared" si="34"/>
        <v>33499.170000000158</v>
      </c>
      <c r="F138" s="483">
        <f t="shared" si="35"/>
        <v>0</v>
      </c>
      <c r="G138" s="483">
        <f t="shared" si="36"/>
        <v>16749.585000000079</v>
      </c>
      <c r="H138" s="484">
        <f t="shared" si="37"/>
        <v>35412.425734452067</v>
      </c>
      <c r="I138" s="540">
        <f t="shared" si="38"/>
        <v>35412.425734452067</v>
      </c>
      <c r="J138" s="476">
        <f t="shared" si="28"/>
        <v>0</v>
      </c>
      <c r="K138" s="476"/>
      <c r="L138" s="485"/>
      <c r="M138" s="476">
        <f t="shared" si="39"/>
        <v>0</v>
      </c>
      <c r="N138" s="485"/>
      <c r="O138" s="476">
        <f t="shared" si="40"/>
        <v>0</v>
      </c>
      <c r="P138" s="476">
        <f t="shared" si="41"/>
        <v>0</v>
      </c>
    </row>
    <row r="139" spans="2:16" ht="12.5">
      <c r="B139" s="160" t="str">
        <f t="shared" si="27"/>
        <v/>
      </c>
      <c r="C139" s="470">
        <f>IF(D93="","-",+C138+1)</f>
        <v>2055</v>
      </c>
      <c r="D139" s="345">
        <f>IF(F138+SUM(E$99:E138)=D$92,F138,D$92-SUM(E$99:E138))</f>
        <v>0</v>
      </c>
      <c r="E139" s="482">
        <f t="shared" si="34"/>
        <v>0</v>
      </c>
      <c r="F139" s="483">
        <f t="shared" si="35"/>
        <v>0</v>
      </c>
      <c r="G139" s="483">
        <f t="shared" si="36"/>
        <v>0</v>
      </c>
      <c r="H139" s="484">
        <f t="shared" si="37"/>
        <v>0</v>
      </c>
      <c r="I139" s="540">
        <f t="shared" si="38"/>
        <v>0</v>
      </c>
      <c r="J139" s="476">
        <f t="shared" si="28"/>
        <v>0</v>
      </c>
      <c r="K139" s="476"/>
      <c r="L139" s="485"/>
      <c r="M139" s="476">
        <f t="shared" si="39"/>
        <v>0</v>
      </c>
      <c r="N139" s="485"/>
      <c r="O139" s="476">
        <f t="shared" si="40"/>
        <v>0</v>
      </c>
      <c r="P139" s="476">
        <f t="shared" si="41"/>
        <v>0</v>
      </c>
    </row>
    <row r="140" spans="2:16" ht="12.5">
      <c r="B140" s="160" t="str">
        <f t="shared" si="27"/>
        <v/>
      </c>
      <c r="C140" s="470">
        <f>IF(D93="","-",+C139+1)</f>
        <v>2056</v>
      </c>
      <c r="D140" s="345">
        <f>IF(F139+SUM(E$99:E139)=D$92,F139,D$92-SUM(E$99:E139))</f>
        <v>0</v>
      </c>
      <c r="E140" s="482">
        <f t="shared" si="34"/>
        <v>0</v>
      </c>
      <c r="F140" s="483">
        <f t="shared" si="35"/>
        <v>0</v>
      </c>
      <c r="G140" s="483">
        <f t="shared" si="36"/>
        <v>0</v>
      </c>
      <c r="H140" s="484">
        <f t="shared" si="37"/>
        <v>0</v>
      </c>
      <c r="I140" s="540">
        <f t="shared" si="38"/>
        <v>0</v>
      </c>
      <c r="J140" s="476">
        <f t="shared" si="28"/>
        <v>0</v>
      </c>
      <c r="K140" s="476"/>
      <c r="L140" s="485"/>
      <c r="M140" s="476">
        <f t="shared" si="39"/>
        <v>0</v>
      </c>
      <c r="N140" s="485"/>
      <c r="O140" s="476">
        <f t="shared" si="40"/>
        <v>0</v>
      </c>
      <c r="P140" s="476">
        <f t="shared" si="41"/>
        <v>0</v>
      </c>
    </row>
    <row r="141" spans="2:16" ht="12.5">
      <c r="B141" s="160" t="str">
        <f t="shared" si="27"/>
        <v/>
      </c>
      <c r="C141" s="470">
        <f>IF(D93="","-",+C140+1)</f>
        <v>2057</v>
      </c>
      <c r="D141" s="345">
        <f>IF(F140+SUM(E$99:E140)=D$92,F140,D$92-SUM(E$99:E140))</f>
        <v>0</v>
      </c>
      <c r="E141" s="482">
        <f t="shared" si="34"/>
        <v>0</v>
      </c>
      <c r="F141" s="483">
        <f t="shared" si="35"/>
        <v>0</v>
      </c>
      <c r="G141" s="483">
        <f t="shared" si="36"/>
        <v>0</v>
      </c>
      <c r="H141" s="484">
        <f t="shared" si="37"/>
        <v>0</v>
      </c>
      <c r="I141" s="540">
        <f t="shared" si="38"/>
        <v>0</v>
      </c>
      <c r="J141" s="476">
        <f t="shared" si="28"/>
        <v>0</v>
      </c>
      <c r="K141" s="476"/>
      <c r="L141" s="485"/>
      <c r="M141" s="476">
        <f t="shared" si="39"/>
        <v>0</v>
      </c>
      <c r="N141" s="485"/>
      <c r="O141" s="476">
        <f t="shared" si="40"/>
        <v>0</v>
      </c>
      <c r="P141" s="476">
        <f t="shared" si="41"/>
        <v>0</v>
      </c>
    </row>
    <row r="142" spans="2:16" ht="12.5">
      <c r="B142" s="160" t="str">
        <f t="shared" si="27"/>
        <v/>
      </c>
      <c r="C142" s="470">
        <f>IF(D93="","-",+C141+1)</f>
        <v>2058</v>
      </c>
      <c r="D142" s="345">
        <f>IF(F141+SUM(E$99:E141)=D$92,F141,D$92-SUM(E$99:E141))</f>
        <v>0</v>
      </c>
      <c r="E142" s="482">
        <f t="shared" si="34"/>
        <v>0</v>
      </c>
      <c r="F142" s="483">
        <f t="shared" si="35"/>
        <v>0</v>
      </c>
      <c r="G142" s="483">
        <f t="shared" si="36"/>
        <v>0</v>
      </c>
      <c r="H142" s="484">
        <f t="shared" si="37"/>
        <v>0</v>
      </c>
      <c r="I142" s="540">
        <f t="shared" si="38"/>
        <v>0</v>
      </c>
      <c r="J142" s="476">
        <f t="shared" si="28"/>
        <v>0</v>
      </c>
      <c r="K142" s="476"/>
      <c r="L142" s="485"/>
      <c r="M142" s="476">
        <f t="shared" si="39"/>
        <v>0</v>
      </c>
      <c r="N142" s="485"/>
      <c r="O142" s="476">
        <f t="shared" si="40"/>
        <v>0</v>
      </c>
      <c r="P142" s="476">
        <f t="shared" si="41"/>
        <v>0</v>
      </c>
    </row>
    <row r="143" spans="2:16" ht="12.5">
      <c r="B143" s="160" t="str">
        <f t="shared" si="27"/>
        <v/>
      </c>
      <c r="C143" s="470">
        <f>IF(D93="","-",+C142+1)</f>
        <v>2059</v>
      </c>
      <c r="D143" s="345">
        <f>IF(F142+SUM(E$99:E142)=D$92,F142,D$92-SUM(E$99:E142))</f>
        <v>0</v>
      </c>
      <c r="E143" s="482">
        <f t="shared" si="34"/>
        <v>0</v>
      </c>
      <c r="F143" s="483">
        <f t="shared" si="35"/>
        <v>0</v>
      </c>
      <c r="G143" s="483">
        <f t="shared" si="36"/>
        <v>0</v>
      </c>
      <c r="H143" s="484">
        <f t="shared" si="37"/>
        <v>0</v>
      </c>
      <c r="I143" s="540">
        <f t="shared" si="38"/>
        <v>0</v>
      </c>
      <c r="J143" s="476">
        <f t="shared" si="28"/>
        <v>0</v>
      </c>
      <c r="K143" s="476"/>
      <c r="L143" s="485"/>
      <c r="M143" s="476">
        <f t="shared" si="39"/>
        <v>0</v>
      </c>
      <c r="N143" s="485"/>
      <c r="O143" s="476">
        <f t="shared" si="40"/>
        <v>0</v>
      </c>
      <c r="P143" s="476">
        <f t="shared" si="41"/>
        <v>0</v>
      </c>
    </row>
    <row r="144" spans="2:16" ht="12.5">
      <c r="B144" s="160" t="str">
        <f t="shared" si="27"/>
        <v/>
      </c>
      <c r="C144" s="470">
        <f>IF(D93="","-",+C143+1)</f>
        <v>2060</v>
      </c>
      <c r="D144" s="345">
        <f>IF(F143+SUM(E$99:E143)=D$92,F143,D$92-SUM(E$99:E143))</f>
        <v>0</v>
      </c>
      <c r="E144" s="482">
        <f t="shared" si="34"/>
        <v>0</v>
      </c>
      <c r="F144" s="483">
        <f t="shared" si="35"/>
        <v>0</v>
      </c>
      <c r="G144" s="483">
        <f t="shared" si="36"/>
        <v>0</v>
      </c>
      <c r="H144" s="484">
        <f t="shared" si="37"/>
        <v>0</v>
      </c>
      <c r="I144" s="540">
        <f t="shared" si="38"/>
        <v>0</v>
      </c>
      <c r="J144" s="476">
        <f t="shared" si="28"/>
        <v>0</v>
      </c>
      <c r="K144" s="476"/>
      <c r="L144" s="485"/>
      <c r="M144" s="476">
        <f t="shared" si="39"/>
        <v>0</v>
      </c>
      <c r="N144" s="485"/>
      <c r="O144" s="476">
        <f t="shared" si="40"/>
        <v>0</v>
      </c>
      <c r="P144" s="476">
        <f t="shared" si="41"/>
        <v>0</v>
      </c>
    </row>
    <row r="145" spans="2:16" ht="12.5">
      <c r="B145" s="160" t="str">
        <f t="shared" si="27"/>
        <v/>
      </c>
      <c r="C145" s="470">
        <f>IF(D93="","-",+C144+1)</f>
        <v>2061</v>
      </c>
      <c r="D145" s="345">
        <f>IF(F144+SUM(E$99:E144)=D$92,F144,D$92-SUM(E$99:E144))</f>
        <v>0</v>
      </c>
      <c r="E145" s="482">
        <f t="shared" si="34"/>
        <v>0</v>
      </c>
      <c r="F145" s="483">
        <f t="shared" si="35"/>
        <v>0</v>
      </c>
      <c r="G145" s="483">
        <f t="shared" si="36"/>
        <v>0</v>
      </c>
      <c r="H145" s="484">
        <f t="shared" si="37"/>
        <v>0</v>
      </c>
      <c r="I145" s="540">
        <f t="shared" si="38"/>
        <v>0</v>
      </c>
      <c r="J145" s="476">
        <f t="shared" si="28"/>
        <v>0</v>
      </c>
      <c r="K145" s="476"/>
      <c r="L145" s="485"/>
      <c r="M145" s="476">
        <f t="shared" si="39"/>
        <v>0</v>
      </c>
      <c r="N145" s="485"/>
      <c r="O145" s="476">
        <f t="shared" si="40"/>
        <v>0</v>
      </c>
      <c r="P145" s="476">
        <f t="shared" si="41"/>
        <v>0</v>
      </c>
    </row>
    <row r="146" spans="2:16" ht="12.5">
      <c r="B146" s="160" t="str">
        <f t="shared" si="27"/>
        <v/>
      </c>
      <c r="C146" s="470">
        <f>IF(D93="","-",+C145+1)</f>
        <v>2062</v>
      </c>
      <c r="D146" s="345">
        <f>IF(F145+SUM(E$99:E145)=D$92,F145,D$92-SUM(E$99:E145))</f>
        <v>0</v>
      </c>
      <c r="E146" s="482">
        <f t="shared" si="34"/>
        <v>0</v>
      </c>
      <c r="F146" s="483">
        <f t="shared" si="35"/>
        <v>0</v>
      </c>
      <c r="G146" s="483">
        <f t="shared" si="36"/>
        <v>0</v>
      </c>
      <c r="H146" s="484">
        <f t="shared" si="37"/>
        <v>0</v>
      </c>
      <c r="I146" s="540">
        <f t="shared" si="38"/>
        <v>0</v>
      </c>
      <c r="J146" s="476">
        <f t="shared" si="28"/>
        <v>0</v>
      </c>
      <c r="K146" s="476"/>
      <c r="L146" s="485"/>
      <c r="M146" s="476">
        <f t="shared" si="39"/>
        <v>0</v>
      </c>
      <c r="N146" s="485"/>
      <c r="O146" s="476">
        <f t="shared" si="40"/>
        <v>0</v>
      </c>
      <c r="P146" s="476">
        <f t="shared" si="41"/>
        <v>0</v>
      </c>
    </row>
    <row r="147" spans="2:16" ht="12.5">
      <c r="B147" s="160" t="str">
        <f t="shared" si="27"/>
        <v/>
      </c>
      <c r="C147" s="470">
        <f>IF(D93="","-",+C146+1)</f>
        <v>2063</v>
      </c>
      <c r="D147" s="345">
        <f>IF(F146+SUM(E$99:E146)=D$92,F146,D$92-SUM(E$99:E146))</f>
        <v>0</v>
      </c>
      <c r="E147" s="482">
        <f t="shared" si="34"/>
        <v>0</v>
      </c>
      <c r="F147" s="483">
        <f t="shared" si="35"/>
        <v>0</v>
      </c>
      <c r="G147" s="483">
        <f t="shared" si="36"/>
        <v>0</v>
      </c>
      <c r="H147" s="484">
        <f t="shared" si="37"/>
        <v>0</v>
      </c>
      <c r="I147" s="540">
        <f t="shared" si="38"/>
        <v>0</v>
      </c>
      <c r="J147" s="476">
        <f t="shared" si="28"/>
        <v>0</v>
      </c>
      <c r="K147" s="476"/>
      <c r="L147" s="485"/>
      <c r="M147" s="476">
        <f t="shared" si="39"/>
        <v>0</v>
      </c>
      <c r="N147" s="485"/>
      <c r="O147" s="476">
        <f t="shared" si="40"/>
        <v>0</v>
      </c>
      <c r="P147" s="476">
        <f t="shared" si="41"/>
        <v>0</v>
      </c>
    </row>
    <row r="148" spans="2:16" ht="12.5">
      <c r="B148" s="160" t="str">
        <f t="shared" si="27"/>
        <v/>
      </c>
      <c r="C148" s="470">
        <f>IF(D93="","-",+C147+1)</f>
        <v>2064</v>
      </c>
      <c r="D148" s="345">
        <f>IF(F147+SUM(E$99:E147)=D$92,F147,D$92-SUM(E$99:E147))</f>
        <v>0</v>
      </c>
      <c r="E148" s="482">
        <f t="shared" si="34"/>
        <v>0</v>
      </c>
      <c r="F148" s="483">
        <f t="shared" si="35"/>
        <v>0</v>
      </c>
      <c r="G148" s="483">
        <f t="shared" si="36"/>
        <v>0</v>
      </c>
      <c r="H148" s="484">
        <f t="shared" si="37"/>
        <v>0</v>
      </c>
      <c r="I148" s="540">
        <f t="shared" si="38"/>
        <v>0</v>
      </c>
      <c r="J148" s="476">
        <f t="shared" si="28"/>
        <v>0</v>
      </c>
      <c r="K148" s="476"/>
      <c r="L148" s="485"/>
      <c r="M148" s="476">
        <f t="shared" si="39"/>
        <v>0</v>
      </c>
      <c r="N148" s="485"/>
      <c r="O148" s="476">
        <f t="shared" si="40"/>
        <v>0</v>
      </c>
      <c r="P148" s="476">
        <f t="shared" si="41"/>
        <v>0</v>
      </c>
    </row>
    <row r="149" spans="2:16" ht="12.5">
      <c r="B149" s="160" t="str">
        <f t="shared" si="27"/>
        <v/>
      </c>
      <c r="C149" s="470">
        <f>IF(D93="","-",+C148+1)</f>
        <v>2065</v>
      </c>
      <c r="D149" s="345">
        <f>IF(F148+SUM(E$99:E148)=D$92,F148,D$92-SUM(E$99:E148))</f>
        <v>0</v>
      </c>
      <c r="E149" s="482">
        <f t="shared" si="34"/>
        <v>0</v>
      </c>
      <c r="F149" s="483">
        <f t="shared" si="35"/>
        <v>0</v>
      </c>
      <c r="G149" s="483">
        <f t="shared" si="36"/>
        <v>0</v>
      </c>
      <c r="H149" s="484">
        <f t="shared" si="37"/>
        <v>0</v>
      </c>
      <c r="I149" s="540">
        <f t="shared" si="38"/>
        <v>0</v>
      </c>
      <c r="J149" s="476">
        <f t="shared" si="28"/>
        <v>0</v>
      </c>
      <c r="K149" s="476"/>
      <c r="L149" s="485"/>
      <c r="M149" s="476">
        <f t="shared" si="39"/>
        <v>0</v>
      </c>
      <c r="N149" s="485"/>
      <c r="O149" s="476">
        <f t="shared" si="40"/>
        <v>0</v>
      </c>
      <c r="P149" s="476">
        <f t="shared" si="41"/>
        <v>0</v>
      </c>
    </row>
    <row r="150" spans="2:16" ht="12.5">
      <c r="B150" s="160" t="str">
        <f t="shared" si="27"/>
        <v/>
      </c>
      <c r="C150" s="470">
        <f>IF(D93="","-",+C149+1)</f>
        <v>2066</v>
      </c>
      <c r="D150" s="345">
        <f>IF(F149+SUM(E$99:E149)=D$92,F149,D$92-SUM(E$99:E149))</f>
        <v>0</v>
      </c>
      <c r="E150" s="482">
        <f t="shared" si="34"/>
        <v>0</v>
      </c>
      <c r="F150" s="483">
        <f t="shared" si="35"/>
        <v>0</v>
      </c>
      <c r="G150" s="483">
        <f t="shared" si="36"/>
        <v>0</v>
      </c>
      <c r="H150" s="484">
        <f t="shared" si="37"/>
        <v>0</v>
      </c>
      <c r="I150" s="540">
        <f t="shared" si="38"/>
        <v>0</v>
      </c>
      <c r="J150" s="476">
        <f t="shared" si="28"/>
        <v>0</v>
      </c>
      <c r="K150" s="476"/>
      <c r="L150" s="485"/>
      <c r="M150" s="476">
        <f t="shared" si="39"/>
        <v>0</v>
      </c>
      <c r="N150" s="485"/>
      <c r="O150" s="476">
        <f t="shared" si="40"/>
        <v>0</v>
      </c>
      <c r="P150" s="476">
        <f t="shared" si="41"/>
        <v>0</v>
      </c>
    </row>
    <row r="151" spans="2:16" ht="12.5">
      <c r="B151" s="160" t="str">
        <f t="shared" si="27"/>
        <v/>
      </c>
      <c r="C151" s="470">
        <f>IF(D93="","-",+C150+1)</f>
        <v>2067</v>
      </c>
      <c r="D151" s="345">
        <f>IF(F150+SUM(E$99:E150)=D$92,F150,D$92-SUM(E$99:E150))</f>
        <v>0</v>
      </c>
      <c r="E151" s="482">
        <f t="shared" si="34"/>
        <v>0</v>
      </c>
      <c r="F151" s="483">
        <f t="shared" si="35"/>
        <v>0</v>
      </c>
      <c r="G151" s="483">
        <f t="shared" si="36"/>
        <v>0</v>
      </c>
      <c r="H151" s="484">
        <f t="shared" si="37"/>
        <v>0</v>
      </c>
      <c r="I151" s="540">
        <f t="shared" si="38"/>
        <v>0</v>
      </c>
      <c r="J151" s="476">
        <f t="shared" si="28"/>
        <v>0</v>
      </c>
      <c r="K151" s="476"/>
      <c r="L151" s="485"/>
      <c r="M151" s="476">
        <f t="shared" si="39"/>
        <v>0</v>
      </c>
      <c r="N151" s="485"/>
      <c r="O151" s="476">
        <f t="shared" si="40"/>
        <v>0</v>
      </c>
      <c r="P151" s="476">
        <f t="shared" si="41"/>
        <v>0</v>
      </c>
    </row>
    <row r="152" spans="2:16" ht="12.5">
      <c r="B152" s="160" t="str">
        <f t="shared" si="27"/>
        <v/>
      </c>
      <c r="C152" s="470">
        <f>IF(D93="","-",+C151+1)</f>
        <v>2068</v>
      </c>
      <c r="D152" s="345">
        <f>IF(F151+SUM(E$99:E151)=D$92,F151,D$92-SUM(E$99:E151))</f>
        <v>0</v>
      </c>
      <c r="E152" s="482">
        <f t="shared" si="34"/>
        <v>0</v>
      </c>
      <c r="F152" s="483">
        <f t="shared" si="35"/>
        <v>0</v>
      </c>
      <c r="G152" s="483">
        <f t="shared" si="36"/>
        <v>0</v>
      </c>
      <c r="H152" s="484">
        <f t="shared" si="37"/>
        <v>0</v>
      </c>
      <c r="I152" s="540">
        <f t="shared" si="38"/>
        <v>0</v>
      </c>
      <c r="J152" s="476">
        <f t="shared" si="28"/>
        <v>0</v>
      </c>
      <c r="K152" s="476"/>
      <c r="L152" s="485"/>
      <c r="M152" s="476">
        <f t="shared" si="39"/>
        <v>0</v>
      </c>
      <c r="N152" s="485"/>
      <c r="O152" s="476">
        <f t="shared" si="40"/>
        <v>0</v>
      </c>
      <c r="P152" s="476">
        <f t="shared" si="41"/>
        <v>0</v>
      </c>
    </row>
    <row r="153" spans="2:16" ht="12.5">
      <c r="B153" s="160" t="str">
        <f t="shared" si="27"/>
        <v/>
      </c>
      <c r="C153" s="470">
        <f>IF(D93="","-",+C152+1)</f>
        <v>2069</v>
      </c>
      <c r="D153" s="345">
        <f>IF(F152+SUM(E$99:E152)=D$92,F152,D$92-SUM(E$99:E152))</f>
        <v>0</v>
      </c>
      <c r="E153" s="482">
        <f t="shared" si="34"/>
        <v>0</v>
      </c>
      <c r="F153" s="483">
        <f t="shared" si="35"/>
        <v>0</v>
      </c>
      <c r="G153" s="483">
        <f t="shared" si="36"/>
        <v>0</v>
      </c>
      <c r="H153" s="484">
        <f t="shared" si="37"/>
        <v>0</v>
      </c>
      <c r="I153" s="540">
        <f t="shared" si="38"/>
        <v>0</v>
      </c>
      <c r="J153" s="476">
        <f t="shared" si="28"/>
        <v>0</v>
      </c>
      <c r="K153" s="476"/>
      <c r="L153" s="485"/>
      <c r="M153" s="476">
        <f t="shared" si="39"/>
        <v>0</v>
      </c>
      <c r="N153" s="485"/>
      <c r="O153" s="476">
        <f t="shared" si="40"/>
        <v>0</v>
      </c>
      <c r="P153" s="476">
        <f t="shared" si="41"/>
        <v>0</v>
      </c>
    </row>
    <row r="154" spans="2:16" ht="13" thickBot="1">
      <c r="B154" s="160" t="str">
        <f t="shared" si="27"/>
        <v/>
      </c>
      <c r="C154" s="487">
        <f>IF(D93="","-",+C153+1)</f>
        <v>2070</v>
      </c>
      <c r="D154" s="574">
        <f>IF(F153+SUM(E$99:E153)=D$92,F153,D$92-SUM(E$99:E153))</f>
        <v>0</v>
      </c>
      <c r="E154" s="489">
        <f t="shared" si="34"/>
        <v>0</v>
      </c>
      <c r="F154" s="488">
        <f t="shared" si="35"/>
        <v>0</v>
      </c>
      <c r="G154" s="488">
        <f t="shared" si="36"/>
        <v>0</v>
      </c>
      <c r="H154" s="490">
        <f t="shared" ref="H154" si="42">+J$94*G154+E154</f>
        <v>0</v>
      </c>
      <c r="I154" s="543">
        <f t="shared" ref="I154" si="43">+J$95*G154+E154</f>
        <v>0</v>
      </c>
      <c r="J154" s="493">
        <f t="shared" si="28"/>
        <v>0</v>
      </c>
      <c r="K154" s="476"/>
      <c r="L154" s="492"/>
      <c r="M154" s="493">
        <f t="shared" si="39"/>
        <v>0</v>
      </c>
      <c r="N154" s="492"/>
      <c r="O154" s="493">
        <f t="shared" si="40"/>
        <v>0</v>
      </c>
      <c r="P154" s="493">
        <f t="shared" si="41"/>
        <v>0</v>
      </c>
    </row>
    <row r="155" spans="2:16" ht="12.5">
      <c r="C155" s="345" t="s">
        <v>77</v>
      </c>
      <c r="D155" s="346"/>
      <c r="E155" s="346">
        <f>SUM(E99:E154)</f>
        <v>1692023.1700000002</v>
      </c>
      <c r="F155" s="346"/>
      <c r="G155" s="346"/>
      <c r="H155" s="346">
        <f>SUM(H99:H154)</f>
        <v>5617078.3086075597</v>
      </c>
      <c r="I155" s="346">
        <f>SUM(I99:I154)</f>
        <v>5617078.3086075597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7">
    <tabColor theme="9" tint="-0.249977111117893"/>
  </sheetPr>
  <dimension ref="A1:P162"/>
  <sheetViews>
    <sheetView topLeftCell="A66" zoomScaleNormal="100" zoomScaleSheetLayoutView="80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18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205572.35897435897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205572.35897435897</v>
      </c>
      <c r="O6" s="231"/>
      <c r="P6" s="231"/>
    </row>
    <row r="7" spans="1:16" ht="13.5" thickBot="1">
      <c r="C7" s="429" t="s">
        <v>46</v>
      </c>
      <c r="D7" s="597" t="s">
        <v>263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607" t="s">
        <v>266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268</v>
      </c>
      <c r="E9" s="575" t="s">
        <v>259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1725647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2014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4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44247.358974358976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2014</v>
      </c>
      <c r="D17" s="576">
        <v>1725646.85</v>
      </c>
      <c r="E17" s="599">
        <v>22123.677564102563</v>
      </c>
      <c r="F17" s="576">
        <v>1703523.1724358976</v>
      </c>
      <c r="G17" s="599">
        <v>256628.57821434946</v>
      </c>
      <c r="H17" s="600">
        <v>256628.57821434946</v>
      </c>
      <c r="I17" s="473">
        <v>0</v>
      </c>
      <c r="J17" s="473"/>
      <c r="K17" s="474">
        <f t="shared" ref="K17:K22" si="0">G17</f>
        <v>256628.57821434946</v>
      </c>
      <c r="L17" s="601">
        <f t="shared" ref="L17:L22" si="1">IF(K17&lt;&gt;0,+G17-K17,0)</f>
        <v>0</v>
      </c>
      <c r="M17" s="474">
        <f t="shared" ref="M17:M22" si="2">H17</f>
        <v>256628.57821434946</v>
      </c>
      <c r="N17" s="476">
        <f>IF(M17&lt;&gt;0,+H17-M17,0)</f>
        <v>0</v>
      </c>
      <c r="O17" s="473">
        <f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2015</v>
      </c>
      <c r="D18" s="576">
        <v>1703523.1724358976</v>
      </c>
      <c r="E18" s="577">
        <v>33185.516346153847</v>
      </c>
      <c r="F18" s="576">
        <v>1670337.6560897438</v>
      </c>
      <c r="G18" s="577">
        <v>263477.7363505594</v>
      </c>
      <c r="H18" s="600">
        <v>263477.7363505594</v>
      </c>
      <c r="I18" s="473">
        <v>0</v>
      </c>
      <c r="J18" s="473"/>
      <c r="K18" s="474">
        <f t="shared" si="0"/>
        <v>263477.7363505594</v>
      </c>
      <c r="L18" s="601">
        <f t="shared" si="1"/>
        <v>0</v>
      </c>
      <c r="M18" s="474">
        <f t="shared" si="2"/>
        <v>263477.7363505594</v>
      </c>
      <c r="N18" s="476">
        <f>IF(M18&lt;&gt;0,+H18-M18,0)</f>
        <v>0</v>
      </c>
      <c r="O18" s="473">
        <f>+N18-L18</f>
        <v>0</v>
      </c>
      <c r="P18" s="241"/>
    </row>
    <row r="19" spans="2:16" ht="12.5">
      <c r="B19" s="160" t="str">
        <f>IF(D19=F18,"","IU")</f>
        <v/>
      </c>
      <c r="C19" s="470">
        <f>IF(D11="","-",+C18+1)</f>
        <v>2016</v>
      </c>
      <c r="D19" s="576">
        <v>1670337.6560897438</v>
      </c>
      <c r="E19" s="577">
        <v>33185.516346153847</v>
      </c>
      <c r="F19" s="576">
        <v>1637152.13974359</v>
      </c>
      <c r="G19" s="577">
        <v>247913.51634615386</v>
      </c>
      <c r="H19" s="600">
        <v>247913.51634615386</v>
      </c>
      <c r="I19" s="473">
        <f>H19-G19</f>
        <v>0</v>
      </c>
      <c r="J19" s="473"/>
      <c r="K19" s="474">
        <f t="shared" si="0"/>
        <v>247913.51634615386</v>
      </c>
      <c r="L19" s="601">
        <f t="shared" si="1"/>
        <v>0</v>
      </c>
      <c r="M19" s="474">
        <f t="shared" si="2"/>
        <v>247913.51634615386</v>
      </c>
      <c r="N19" s="476">
        <f>IF(M19&lt;&gt;0,+H19-M19,0)</f>
        <v>0</v>
      </c>
      <c r="O19" s="473">
        <f>+N19-L19</f>
        <v>0</v>
      </c>
      <c r="P19" s="241"/>
    </row>
    <row r="20" spans="2:16" ht="12.5">
      <c r="B20" s="160" t="str">
        <f t="shared" ref="B20:B72" si="3">IF(D20=F19,"","IU")</f>
        <v>IU</v>
      </c>
      <c r="C20" s="470">
        <f>IF(D11="","-",+C19+1)</f>
        <v>2017</v>
      </c>
      <c r="D20" s="576">
        <v>1637152</v>
      </c>
      <c r="E20" s="577">
        <v>37514</v>
      </c>
      <c r="F20" s="576">
        <v>1599638</v>
      </c>
      <c r="G20" s="577">
        <v>241085</v>
      </c>
      <c r="H20" s="600">
        <v>241085</v>
      </c>
      <c r="I20" s="473">
        <f t="shared" ref="I20:I72" si="4">H20-G20</f>
        <v>0</v>
      </c>
      <c r="J20" s="473"/>
      <c r="K20" s="474">
        <f t="shared" si="0"/>
        <v>241085</v>
      </c>
      <c r="L20" s="601">
        <f t="shared" si="1"/>
        <v>0</v>
      </c>
      <c r="M20" s="474">
        <f t="shared" si="2"/>
        <v>241085</v>
      </c>
      <c r="N20" s="476">
        <f>IF(M20&lt;&gt;0,+H20-M20,0)</f>
        <v>0</v>
      </c>
      <c r="O20" s="473">
        <f>+N20-L20</f>
        <v>0</v>
      </c>
      <c r="P20" s="241"/>
    </row>
    <row r="21" spans="2:16" ht="12.5">
      <c r="B21" s="160" t="str">
        <f t="shared" si="3"/>
        <v>IU</v>
      </c>
      <c r="C21" s="470">
        <f>IF(D11="","-",+C20+1)</f>
        <v>2018</v>
      </c>
      <c r="D21" s="576">
        <v>1599638.0777870682</v>
      </c>
      <c r="E21" s="577">
        <v>38347.707777777781</v>
      </c>
      <c r="F21" s="576">
        <v>1561290.3700092905</v>
      </c>
      <c r="G21" s="577">
        <v>227622.42905835263</v>
      </c>
      <c r="H21" s="600">
        <v>227622.42905835263</v>
      </c>
      <c r="I21" s="473">
        <f t="shared" si="4"/>
        <v>0</v>
      </c>
      <c r="J21" s="473"/>
      <c r="K21" s="474">
        <f t="shared" si="0"/>
        <v>227622.42905835263</v>
      </c>
      <c r="L21" s="601">
        <f t="shared" si="1"/>
        <v>0</v>
      </c>
      <c r="M21" s="474">
        <f t="shared" si="2"/>
        <v>227622.42905835263</v>
      </c>
      <c r="N21" s="476">
        <f>IF(M21&lt;&gt;0,+H21-M21,0)</f>
        <v>0</v>
      </c>
      <c r="O21" s="473">
        <f>+N21-L21</f>
        <v>0</v>
      </c>
      <c r="P21" s="241"/>
    </row>
    <row r="22" spans="2:16" ht="12.5">
      <c r="B22" s="160" t="str">
        <f t="shared" si="3"/>
        <v/>
      </c>
      <c r="C22" s="470">
        <f>IF(D11="","-",+C21+1)</f>
        <v>2019</v>
      </c>
      <c r="D22" s="576">
        <v>1561290.3700092905</v>
      </c>
      <c r="E22" s="577">
        <v>43141.171249999999</v>
      </c>
      <c r="F22" s="576">
        <v>1518149.1987592906</v>
      </c>
      <c r="G22" s="577">
        <v>215061.09551654221</v>
      </c>
      <c r="H22" s="600">
        <v>215061.09551654221</v>
      </c>
      <c r="I22" s="473">
        <f t="shared" si="4"/>
        <v>0</v>
      </c>
      <c r="J22" s="473"/>
      <c r="K22" s="474">
        <f t="shared" si="0"/>
        <v>215061.09551654221</v>
      </c>
      <c r="L22" s="601">
        <f t="shared" si="1"/>
        <v>0</v>
      </c>
      <c r="M22" s="474">
        <f t="shared" si="2"/>
        <v>215061.09551654221</v>
      </c>
      <c r="N22" s="476">
        <f t="shared" ref="N22:N72" si="5">IF(M22&lt;&gt;0,+H22-M22,0)</f>
        <v>0</v>
      </c>
      <c r="O22" s="476">
        <f t="shared" ref="O22:O72" si="6">+N22-L22</f>
        <v>0</v>
      </c>
      <c r="P22" s="241"/>
    </row>
    <row r="23" spans="2:16" ht="12.5">
      <c r="B23" s="160" t="str">
        <f t="shared" si="3"/>
        <v>IU</v>
      </c>
      <c r="C23" s="470">
        <f>IF(D11="","-",+C22+1)</f>
        <v>2020</v>
      </c>
      <c r="D23" s="576">
        <v>1522942.7241880344</v>
      </c>
      <c r="E23" s="577">
        <v>41086.829761904766</v>
      </c>
      <c r="F23" s="576">
        <v>1481855.8944261298</v>
      </c>
      <c r="G23" s="577">
        <v>203353.13199328393</v>
      </c>
      <c r="H23" s="600">
        <v>203353.13199328393</v>
      </c>
      <c r="I23" s="473">
        <f t="shared" si="4"/>
        <v>0</v>
      </c>
      <c r="J23" s="473"/>
      <c r="K23" s="474">
        <f t="shared" ref="K23" si="7">G23</f>
        <v>203353.13199328393</v>
      </c>
      <c r="L23" s="601">
        <f t="shared" ref="L23" si="8">IF(K23&lt;&gt;0,+G23-K23,0)</f>
        <v>0</v>
      </c>
      <c r="M23" s="474">
        <f t="shared" ref="M23" si="9">H23</f>
        <v>203353.13199328393</v>
      </c>
      <c r="N23" s="476">
        <f t="shared" si="5"/>
        <v>0</v>
      </c>
      <c r="O23" s="476">
        <f t="shared" si="6"/>
        <v>0</v>
      </c>
      <c r="P23" s="241"/>
    </row>
    <row r="24" spans="2:16" ht="12.5">
      <c r="B24" s="160" t="str">
        <f t="shared" si="3"/>
        <v>IU</v>
      </c>
      <c r="C24" s="470">
        <f>IF(D11="","-",+C23+1)</f>
        <v>2021</v>
      </c>
      <c r="D24" s="576">
        <v>1477062.4309539073</v>
      </c>
      <c r="E24" s="577">
        <v>40131.322093023256</v>
      </c>
      <c r="F24" s="576">
        <v>1436931.1088608841</v>
      </c>
      <c r="G24" s="577">
        <v>195063.32209302325</v>
      </c>
      <c r="H24" s="600">
        <v>195063.32209302325</v>
      </c>
      <c r="I24" s="473">
        <f t="shared" si="4"/>
        <v>0</v>
      </c>
      <c r="J24" s="473"/>
      <c r="K24" s="474">
        <f t="shared" ref="K24" si="10">G24</f>
        <v>195063.32209302325</v>
      </c>
      <c r="L24" s="601">
        <f t="shared" ref="L24" si="11">IF(K24&lt;&gt;0,+G24-K24,0)</f>
        <v>0</v>
      </c>
      <c r="M24" s="474">
        <f t="shared" ref="M24" si="12">H24</f>
        <v>195063.32209302325</v>
      </c>
      <c r="N24" s="476">
        <f t="shared" si="5"/>
        <v>0</v>
      </c>
      <c r="O24" s="476">
        <f t="shared" si="6"/>
        <v>0</v>
      </c>
      <c r="P24" s="241"/>
    </row>
    <row r="25" spans="2:16" ht="12.5">
      <c r="B25" s="160" t="str">
        <f t="shared" si="3"/>
        <v/>
      </c>
      <c r="C25" s="470">
        <f>IF(D11="","-",+C24+1)</f>
        <v>2022</v>
      </c>
      <c r="D25" s="576">
        <v>1436931.1088608841</v>
      </c>
      <c r="E25" s="577">
        <v>41086.829761904766</v>
      </c>
      <c r="F25" s="576">
        <v>1395844.2790989794</v>
      </c>
      <c r="G25" s="577">
        <v>191574.82976190478</v>
      </c>
      <c r="H25" s="600">
        <v>191574.82976190478</v>
      </c>
      <c r="I25" s="473">
        <f t="shared" si="4"/>
        <v>0</v>
      </c>
      <c r="J25" s="473"/>
      <c r="K25" s="474">
        <f t="shared" ref="K25" si="13">G25</f>
        <v>191574.82976190478</v>
      </c>
      <c r="L25" s="601">
        <f t="shared" ref="L25" si="14">IF(K25&lt;&gt;0,+G25-K25,0)</f>
        <v>0</v>
      </c>
      <c r="M25" s="474">
        <f t="shared" ref="M25" si="15">H25</f>
        <v>191574.82976190478</v>
      </c>
      <c r="N25" s="476">
        <f t="shared" si="5"/>
        <v>0</v>
      </c>
      <c r="O25" s="476">
        <f t="shared" si="6"/>
        <v>0</v>
      </c>
      <c r="P25" s="241"/>
    </row>
    <row r="26" spans="2:16" ht="12.5">
      <c r="B26" s="160" t="str">
        <f t="shared" si="3"/>
        <v>IU</v>
      </c>
      <c r="C26" s="470">
        <f>IF(D11="","-",+C25+1)</f>
        <v>2023</v>
      </c>
      <c r="D26" s="576">
        <v>1395844.4290989791</v>
      </c>
      <c r="E26" s="577">
        <v>44247.358974358976</v>
      </c>
      <c r="F26" s="576">
        <v>1351597.0701246201</v>
      </c>
      <c r="G26" s="577">
        <v>205572.35897435897</v>
      </c>
      <c r="H26" s="600">
        <v>205572.35897435897</v>
      </c>
      <c r="I26" s="473">
        <f t="shared" si="4"/>
        <v>0</v>
      </c>
      <c r="J26" s="473"/>
      <c r="K26" s="474">
        <f t="shared" ref="K26" si="16">G26</f>
        <v>205572.35897435897</v>
      </c>
      <c r="L26" s="601">
        <f t="shared" ref="L26" si="17">IF(K26&lt;&gt;0,+G26-K26,0)</f>
        <v>0</v>
      </c>
      <c r="M26" s="474">
        <f t="shared" ref="M26" si="18">H26</f>
        <v>205572.35897435897</v>
      </c>
      <c r="N26" s="476">
        <f t="shared" si="5"/>
        <v>0</v>
      </c>
      <c r="O26" s="476">
        <f t="shared" si="6"/>
        <v>0</v>
      </c>
      <c r="P26" s="241"/>
    </row>
    <row r="27" spans="2:16" ht="12.5">
      <c r="B27" s="160" t="str">
        <f t="shared" si="3"/>
        <v/>
      </c>
      <c r="C27" s="470">
        <f>IF(D11="","-",+C26+1)</f>
        <v>2024</v>
      </c>
      <c r="D27" s="483">
        <f>IF(F26+SUM(E$17:E26)=D$10,F26,D$10-SUM(E$17:E26))</f>
        <v>1351597.0701246201</v>
      </c>
      <c r="E27" s="482">
        <f t="shared" ref="E27:E72" si="19">IF(+$I$14&lt;F26,$I$14,D27)</f>
        <v>44247.358974358976</v>
      </c>
      <c r="F27" s="483">
        <f t="shared" ref="F27:F72" si="20">+D27-E27</f>
        <v>1307349.7111502611</v>
      </c>
      <c r="G27" s="484">
        <f t="shared" ref="G27:G72" si="21">(D27+F27)/2*I$12+E27</f>
        <v>202931.90780697661</v>
      </c>
      <c r="H27" s="453">
        <f t="shared" ref="H27:H72" si="22">+(D27+F27)/2*I$13+E27</f>
        <v>202931.90780697661</v>
      </c>
      <c r="I27" s="473">
        <f t="shared" si="4"/>
        <v>0</v>
      </c>
      <c r="J27" s="473"/>
      <c r="K27" s="485"/>
      <c r="L27" s="476">
        <f t="shared" ref="L27:L72" si="23">IF(K27&lt;&gt;0,+G27-K27,0)</f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 ht="12.5">
      <c r="B28" s="160" t="str">
        <f t="shared" si="3"/>
        <v/>
      </c>
      <c r="C28" s="470">
        <f>IF(D11="","-",+C27+1)</f>
        <v>2025</v>
      </c>
      <c r="D28" s="483">
        <f>IF(F27+SUM(E$17:E27)=D$10,F27,D$10-SUM(E$17:E27))</f>
        <v>1307349.7111502611</v>
      </c>
      <c r="E28" s="482">
        <f t="shared" si="19"/>
        <v>44247.358974358976</v>
      </c>
      <c r="F28" s="483">
        <f t="shared" si="20"/>
        <v>1263102.3521759021</v>
      </c>
      <c r="G28" s="484">
        <f t="shared" si="21"/>
        <v>197650.58947046255</v>
      </c>
      <c r="H28" s="453">
        <f t="shared" si="22"/>
        <v>197650.58947046255</v>
      </c>
      <c r="I28" s="473">
        <f t="shared" si="4"/>
        <v>0</v>
      </c>
      <c r="J28" s="473"/>
      <c r="K28" s="485"/>
      <c r="L28" s="476">
        <f t="shared" si="23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 ht="12.5">
      <c r="B29" s="160" t="str">
        <f t="shared" si="3"/>
        <v/>
      </c>
      <c r="C29" s="470">
        <f>IF(D11="","-",+C28+1)</f>
        <v>2026</v>
      </c>
      <c r="D29" s="483">
        <f>IF(F28+SUM(E$17:E28)=D$10,F28,D$10-SUM(E$17:E28))</f>
        <v>1263102.3521759021</v>
      </c>
      <c r="E29" s="482">
        <f t="shared" si="19"/>
        <v>44247.358974358976</v>
      </c>
      <c r="F29" s="483">
        <f t="shared" si="20"/>
        <v>1218854.9932015431</v>
      </c>
      <c r="G29" s="484">
        <f t="shared" si="21"/>
        <v>192369.2711339485</v>
      </c>
      <c r="H29" s="453">
        <f t="shared" si="22"/>
        <v>192369.2711339485</v>
      </c>
      <c r="I29" s="473">
        <f t="shared" si="4"/>
        <v>0</v>
      </c>
      <c r="J29" s="473"/>
      <c r="K29" s="485"/>
      <c r="L29" s="476">
        <f t="shared" si="23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 ht="12.5">
      <c r="B30" s="160" t="str">
        <f t="shared" si="3"/>
        <v/>
      </c>
      <c r="C30" s="470">
        <f>IF(D11="","-",+C29+1)</f>
        <v>2027</v>
      </c>
      <c r="D30" s="483">
        <f>IF(F29+SUM(E$17:E29)=D$10,F29,D$10-SUM(E$17:E29))</f>
        <v>1218854.9932015431</v>
      </c>
      <c r="E30" s="482">
        <f t="shared" si="19"/>
        <v>44247.358974358976</v>
      </c>
      <c r="F30" s="483">
        <f t="shared" si="20"/>
        <v>1174607.6342271841</v>
      </c>
      <c r="G30" s="484">
        <f t="shared" si="21"/>
        <v>187087.95279743444</v>
      </c>
      <c r="H30" s="453">
        <f t="shared" si="22"/>
        <v>187087.95279743444</v>
      </c>
      <c r="I30" s="473">
        <f t="shared" si="4"/>
        <v>0</v>
      </c>
      <c r="J30" s="473"/>
      <c r="K30" s="485"/>
      <c r="L30" s="476">
        <f t="shared" si="23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 ht="12.5">
      <c r="B31" s="160" t="str">
        <f t="shared" si="3"/>
        <v/>
      </c>
      <c r="C31" s="470">
        <f>IF(D11="","-",+C30+1)</f>
        <v>2028</v>
      </c>
      <c r="D31" s="483">
        <f>IF(F30+SUM(E$17:E30)=D$10,F30,D$10-SUM(E$17:E30))</f>
        <v>1174607.6342271841</v>
      </c>
      <c r="E31" s="482">
        <f t="shared" si="19"/>
        <v>44247.358974358976</v>
      </c>
      <c r="F31" s="483">
        <f t="shared" si="20"/>
        <v>1130360.2752528251</v>
      </c>
      <c r="G31" s="484">
        <f t="shared" si="21"/>
        <v>181806.63446092038</v>
      </c>
      <c r="H31" s="453">
        <f t="shared" si="22"/>
        <v>181806.63446092038</v>
      </c>
      <c r="I31" s="473">
        <f t="shared" si="4"/>
        <v>0</v>
      </c>
      <c r="J31" s="473"/>
      <c r="K31" s="485"/>
      <c r="L31" s="476">
        <f t="shared" si="23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 ht="12.5">
      <c r="B32" s="160" t="str">
        <f t="shared" si="3"/>
        <v/>
      </c>
      <c r="C32" s="470">
        <f>IF(D11="","-",+C31+1)</f>
        <v>2029</v>
      </c>
      <c r="D32" s="483">
        <f>IF(F31+SUM(E$17:E31)=D$10,F31,D$10-SUM(E$17:E31))</f>
        <v>1130360.2752528251</v>
      </c>
      <c r="E32" s="482">
        <f t="shared" si="19"/>
        <v>44247.358974358976</v>
      </c>
      <c r="F32" s="483">
        <f t="shared" si="20"/>
        <v>1086112.9162784661</v>
      </c>
      <c r="G32" s="484">
        <f t="shared" si="21"/>
        <v>176525.31612440632</v>
      </c>
      <c r="H32" s="453">
        <f t="shared" si="22"/>
        <v>176525.31612440632</v>
      </c>
      <c r="I32" s="473">
        <f t="shared" si="4"/>
        <v>0</v>
      </c>
      <c r="J32" s="473"/>
      <c r="K32" s="485"/>
      <c r="L32" s="476">
        <f t="shared" si="23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 ht="12.5">
      <c r="B33" s="160" t="str">
        <f t="shared" si="3"/>
        <v/>
      </c>
      <c r="C33" s="470">
        <f>IF(D11="","-",+C32+1)</f>
        <v>2030</v>
      </c>
      <c r="D33" s="483">
        <f>IF(F32+SUM(E$17:E32)=D$10,F32,D$10-SUM(E$17:E32))</f>
        <v>1086112.9162784661</v>
      </c>
      <c r="E33" s="482">
        <f t="shared" si="19"/>
        <v>44247.358974358976</v>
      </c>
      <c r="F33" s="483">
        <f t="shared" si="20"/>
        <v>1041865.5573041071</v>
      </c>
      <c r="G33" s="484">
        <f t="shared" si="21"/>
        <v>171243.99778789227</v>
      </c>
      <c r="H33" s="453">
        <f t="shared" si="22"/>
        <v>171243.99778789227</v>
      </c>
      <c r="I33" s="473">
        <f t="shared" si="4"/>
        <v>0</v>
      </c>
      <c r="J33" s="473"/>
      <c r="K33" s="485"/>
      <c r="L33" s="476">
        <f t="shared" si="23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 ht="12.5">
      <c r="B34" s="160" t="str">
        <f t="shared" si="3"/>
        <v/>
      </c>
      <c r="C34" s="470">
        <f>IF(D11="","-",+C33+1)</f>
        <v>2031</v>
      </c>
      <c r="D34" s="483">
        <f>IF(F33+SUM(E$17:E33)=D$10,F33,D$10-SUM(E$17:E33))</f>
        <v>1041865.5573041071</v>
      </c>
      <c r="E34" s="482">
        <f t="shared" si="19"/>
        <v>44247.358974358976</v>
      </c>
      <c r="F34" s="483">
        <f t="shared" si="20"/>
        <v>997618.19832974812</v>
      </c>
      <c r="G34" s="484">
        <f t="shared" si="21"/>
        <v>165962.67945137821</v>
      </c>
      <c r="H34" s="453">
        <f t="shared" si="22"/>
        <v>165962.67945137821</v>
      </c>
      <c r="I34" s="473">
        <f t="shared" si="4"/>
        <v>0</v>
      </c>
      <c r="J34" s="473"/>
      <c r="K34" s="485"/>
      <c r="L34" s="476">
        <f t="shared" si="23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 ht="12.5">
      <c r="B35" s="160" t="str">
        <f t="shared" si="3"/>
        <v/>
      </c>
      <c r="C35" s="470">
        <f>IF(D11="","-",+C34+1)</f>
        <v>2032</v>
      </c>
      <c r="D35" s="483">
        <f>IF(F34+SUM(E$17:E34)=D$10,F34,D$10-SUM(E$17:E34))</f>
        <v>997618.19832974812</v>
      </c>
      <c r="E35" s="482">
        <f t="shared" si="19"/>
        <v>44247.358974358976</v>
      </c>
      <c r="F35" s="483">
        <f t="shared" si="20"/>
        <v>953370.83935538912</v>
      </c>
      <c r="G35" s="484">
        <f t="shared" si="21"/>
        <v>160681.36111486415</v>
      </c>
      <c r="H35" s="453">
        <f t="shared" si="22"/>
        <v>160681.36111486415</v>
      </c>
      <c r="I35" s="473">
        <f t="shared" si="4"/>
        <v>0</v>
      </c>
      <c r="J35" s="473"/>
      <c r="K35" s="485"/>
      <c r="L35" s="476">
        <f t="shared" si="23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 ht="12.5">
      <c r="B36" s="160" t="str">
        <f t="shared" si="3"/>
        <v/>
      </c>
      <c r="C36" s="470">
        <f>IF(D11="","-",+C35+1)</f>
        <v>2033</v>
      </c>
      <c r="D36" s="483">
        <f>IF(F35+SUM(E$17:E35)=D$10,F35,D$10-SUM(E$17:E35))</f>
        <v>953370.83935538912</v>
      </c>
      <c r="E36" s="482">
        <f t="shared" si="19"/>
        <v>44247.358974358976</v>
      </c>
      <c r="F36" s="483">
        <f t="shared" si="20"/>
        <v>909123.48038103012</v>
      </c>
      <c r="G36" s="484">
        <f t="shared" si="21"/>
        <v>155400.04277835009</v>
      </c>
      <c r="H36" s="453">
        <f t="shared" si="22"/>
        <v>155400.04277835009</v>
      </c>
      <c r="I36" s="473">
        <f t="shared" si="4"/>
        <v>0</v>
      </c>
      <c r="J36" s="473"/>
      <c r="K36" s="485"/>
      <c r="L36" s="476">
        <f t="shared" si="23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 ht="12.5">
      <c r="B37" s="160" t="str">
        <f t="shared" si="3"/>
        <v/>
      </c>
      <c r="C37" s="470">
        <f>IF(D11="","-",+C36+1)</f>
        <v>2034</v>
      </c>
      <c r="D37" s="483">
        <f>IF(F36+SUM(E$17:E36)=D$10,F36,D$10-SUM(E$17:E36))</f>
        <v>909123.48038103012</v>
      </c>
      <c r="E37" s="482">
        <f t="shared" si="19"/>
        <v>44247.358974358976</v>
      </c>
      <c r="F37" s="483">
        <f t="shared" si="20"/>
        <v>864876.12140667113</v>
      </c>
      <c r="G37" s="484">
        <f t="shared" si="21"/>
        <v>150118.72444183604</v>
      </c>
      <c r="H37" s="453">
        <f t="shared" si="22"/>
        <v>150118.72444183604</v>
      </c>
      <c r="I37" s="473">
        <f t="shared" si="4"/>
        <v>0</v>
      </c>
      <c r="J37" s="473"/>
      <c r="K37" s="485"/>
      <c r="L37" s="476">
        <f t="shared" si="23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 ht="12.5">
      <c r="B38" s="160" t="str">
        <f t="shared" si="3"/>
        <v/>
      </c>
      <c r="C38" s="470">
        <f>IF(D11="","-",+C37+1)</f>
        <v>2035</v>
      </c>
      <c r="D38" s="483">
        <f>IF(F37+SUM(E$17:E37)=D$10,F37,D$10-SUM(E$17:E37))</f>
        <v>864876.12140667113</v>
      </c>
      <c r="E38" s="482">
        <f t="shared" si="19"/>
        <v>44247.358974358976</v>
      </c>
      <c r="F38" s="483">
        <f t="shared" si="20"/>
        <v>820628.76243231213</v>
      </c>
      <c r="G38" s="484">
        <f t="shared" si="21"/>
        <v>144837.40610532198</v>
      </c>
      <c r="H38" s="453">
        <f t="shared" si="22"/>
        <v>144837.40610532198</v>
      </c>
      <c r="I38" s="473">
        <f t="shared" si="4"/>
        <v>0</v>
      </c>
      <c r="J38" s="473"/>
      <c r="K38" s="485"/>
      <c r="L38" s="476">
        <f t="shared" si="23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 ht="12.5">
      <c r="B39" s="160" t="str">
        <f t="shared" si="3"/>
        <v/>
      </c>
      <c r="C39" s="470">
        <f>IF(D11="","-",+C38+1)</f>
        <v>2036</v>
      </c>
      <c r="D39" s="483">
        <f>IF(F38+SUM(E$17:E38)=D$10,F38,D$10-SUM(E$17:E38))</f>
        <v>820628.76243231213</v>
      </c>
      <c r="E39" s="482">
        <f t="shared" si="19"/>
        <v>44247.358974358976</v>
      </c>
      <c r="F39" s="483">
        <f t="shared" si="20"/>
        <v>776381.40345795313</v>
      </c>
      <c r="G39" s="484">
        <f t="shared" si="21"/>
        <v>139556.08776880792</v>
      </c>
      <c r="H39" s="453">
        <f t="shared" si="22"/>
        <v>139556.08776880792</v>
      </c>
      <c r="I39" s="473">
        <f t="shared" si="4"/>
        <v>0</v>
      </c>
      <c r="J39" s="473"/>
      <c r="K39" s="485"/>
      <c r="L39" s="476">
        <f t="shared" si="23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 ht="12.5">
      <c r="B40" s="160" t="str">
        <f t="shared" si="3"/>
        <v/>
      </c>
      <c r="C40" s="470">
        <f>IF(D11="","-",+C39+1)</f>
        <v>2037</v>
      </c>
      <c r="D40" s="483">
        <f>IF(F39+SUM(E$17:E39)=D$10,F39,D$10-SUM(E$17:E39))</f>
        <v>776381.40345795313</v>
      </c>
      <c r="E40" s="482">
        <f t="shared" si="19"/>
        <v>44247.358974358976</v>
      </c>
      <c r="F40" s="483">
        <f t="shared" si="20"/>
        <v>732134.04448359413</v>
      </c>
      <c r="G40" s="484">
        <f t="shared" si="21"/>
        <v>134274.76943229386</v>
      </c>
      <c r="H40" s="453">
        <f t="shared" si="22"/>
        <v>134274.76943229386</v>
      </c>
      <c r="I40" s="473">
        <f t="shared" si="4"/>
        <v>0</v>
      </c>
      <c r="J40" s="473"/>
      <c r="K40" s="485"/>
      <c r="L40" s="476">
        <f t="shared" si="23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 ht="12.5">
      <c r="B41" s="160" t="str">
        <f t="shared" si="3"/>
        <v/>
      </c>
      <c r="C41" s="470">
        <f>IF(D11="","-",+C40+1)</f>
        <v>2038</v>
      </c>
      <c r="D41" s="483">
        <f>IF(F40+SUM(E$17:E40)=D$10,F40,D$10-SUM(E$17:E40))</f>
        <v>732134.04448359413</v>
      </c>
      <c r="E41" s="482">
        <f t="shared" si="19"/>
        <v>44247.358974358976</v>
      </c>
      <c r="F41" s="483">
        <f t="shared" si="20"/>
        <v>687886.68550923513</v>
      </c>
      <c r="G41" s="484">
        <f t="shared" si="21"/>
        <v>128993.4510957798</v>
      </c>
      <c r="H41" s="453">
        <f t="shared" si="22"/>
        <v>128993.4510957798</v>
      </c>
      <c r="I41" s="473">
        <f t="shared" si="4"/>
        <v>0</v>
      </c>
      <c r="J41" s="473"/>
      <c r="K41" s="485"/>
      <c r="L41" s="476">
        <f t="shared" si="23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 ht="12.5">
      <c r="B42" s="160" t="str">
        <f t="shared" si="3"/>
        <v/>
      </c>
      <c r="C42" s="470">
        <f>IF(D11="","-",+C41+1)</f>
        <v>2039</v>
      </c>
      <c r="D42" s="483">
        <f>IF(F41+SUM(E$17:E41)=D$10,F41,D$10-SUM(E$17:E41))</f>
        <v>687886.68550923513</v>
      </c>
      <c r="E42" s="482">
        <f t="shared" si="19"/>
        <v>44247.358974358976</v>
      </c>
      <c r="F42" s="483">
        <f t="shared" si="20"/>
        <v>643639.32653487613</v>
      </c>
      <c r="G42" s="484">
        <f t="shared" si="21"/>
        <v>123712.13275926575</v>
      </c>
      <c r="H42" s="453">
        <f t="shared" si="22"/>
        <v>123712.13275926575</v>
      </c>
      <c r="I42" s="473">
        <f t="shared" si="4"/>
        <v>0</v>
      </c>
      <c r="J42" s="473"/>
      <c r="K42" s="485"/>
      <c r="L42" s="476">
        <f t="shared" si="23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 ht="12.5">
      <c r="B43" s="160" t="str">
        <f t="shared" si="3"/>
        <v/>
      </c>
      <c r="C43" s="470">
        <f>IF(D11="","-",+C42+1)</f>
        <v>2040</v>
      </c>
      <c r="D43" s="483">
        <f>IF(F42+SUM(E$17:E42)=D$10,F42,D$10-SUM(E$17:E42))</f>
        <v>643639.32653487613</v>
      </c>
      <c r="E43" s="482">
        <f t="shared" si="19"/>
        <v>44247.358974358976</v>
      </c>
      <c r="F43" s="483">
        <f t="shared" si="20"/>
        <v>599391.96756051714</v>
      </c>
      <c r="G43" s="484">
        <f t="shared" si="21"/>
        <v>118430.81442275169</v>
      </c>
      <c r="H43" s="453">
        <f t="shared" si="22"/>
        <v>118430.81442275169</v>
      </c>
      <c r="I43" s="473">
        <f t="shared" si="4"/>
        <v>0</v>
      </c>
      <c r="J43" s="473"/>
      <c r="K43" s="485"/>
      <c r="L43" s="476">
        <f t="shared" si="23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 ht="12.5">
      <c r="B44" s="160" t="str">
        <f t="shared" si="3"/>
        <v/>
      </c>
      <c r="C44" s="470">
        <f>IF(D11="","-",+C43+1)</f>
        <v>2041</v>
      </c>
      <c r="D44" s="483">
        <f>IF(F43+SUM(E$17:E43)=D$10,F43,D$10-SUM(E$17:E43))</f>
        <v>599391.96756051714</v>
      </c>
      <c r="E44" s="482">
        <f t="shared" si="19"/>
        <v>44247.358974358976</v>
      </c>
      <c r="F44" s="483">
        <f t="shared" si="20"/>
        <v>555144.60858615814</v>
      </c>
      <c r="G44" s="484">
        <f t="shared" si="21"/>
        <v>113149.49608623763</v>
      </c>
      <c r="H44" s="453">
        <f t="shared" si="22"/>
        <v>113149.49608623763</v>
      </c>
      <c r="I44" s="473">
        <f t="shared" si="4"/>
        <v>0</v>
      </c>
      <c r="J44" s="473"/>
      <c r="K44" s="485"/>
      <c r="L44" s="476">
        <f t="shared" si="23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 ht="12.5">
      <c r="B45" s="160" t="str">
        <f t="shared" si="3"/>
        <v/>
      </c>
      <c r="C45" s="470">
        <f>IF(D11="","-",+C44+1)</f>
        <v>2042</v>
      </c>
      <c r="D45" s="483">
        <f>IF(F44+SUM(E$17:E44)=D$10,F44,D$10-SUM(E$17:E44))</f>
        <v>555144.60858615814</v>
      </c>
      <c r="E45" s="482">
        <f t="shared" si="19"/>
        <v>44247.358974358976</v>
      </c>
      <c r="F45" s="483">
        <f t="shared" si="20"/>
        <v>510897.24961179914</v>
      </c>
      <c r="G45" s="484">
        <f t="shared" si="21"/>
        <v>107868.17774972356</v>
      </c>
      <c r="H45" s="453">
        <f t="shared" si="22"/>
        <v>107868.17774972356</v>
      </c>
      <c r="I45" s="473">
        <f t="shared" si="4"/>
        <v>0</v>
      </c>
      <c r="J45" s="473"/>
      <c r="K45" s="485"/>
      <c r="L45" s="476">
        <f t="shared" si="23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 ht="12.5">
      <c r="B46" s="160" t="str">
        <f t="shared" si="3"/>
        <v/>
      </c>
      <c r="C46" s="470">
        <f>IF(D11="","-",+C45+1)</f>
        <v>2043</v>
      </c>
      <c r="D46" s="483">
        <f>IF(F45+SUM(E$17:E45)=D$10,F45,D$10-SUM(E$17:E45))</f>
        <v>510897.24961179914</v>
      </c>
      <c r="E46" s="482">
        <f t="shared" si="19"/>
        <v>44247.358974358976</v>
      </c>
      <c r="F46" s="483">
        <f t="shared" si="20"/>
        <v>466649.89063744014</v>
      </c>
      <c r="G46" s="484">
        <f t="shared" si="21"/>
        <v>102586.8594132095</v>
      </c>
      <c r="H46" s="453">
        <f t="shared" si="22"/>
        <v>102586.8594132095</v>
      </c>
      <c r="I46" s="473">
        <f t="shared" si="4"/>
        <v>0</v>
      </c>
      <c r="J46" s="473"/>
      <c r="K46" s="485"/>
      <c r="L46" s="476">
        <f t="shared" si="23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 ht="12.5">
      <c r="B47" s="160" t="str">
        <f t="shared" si="3"/>
        <v/>
      </c>
      <c r="C47" s="470">
        <f>IF(D11="","-",+C46+1)</f>
        <v>2044</v>
      </c>
      <c r="D47" s="483">
        <f>IF(F46+SUM(E$17:E46)=D$10,F46,D$10-SUM(E$17:E46))</f>
        <v>466649.89063744014</v>
      </c>
      <c r="E47" s="482">
        <f t="shared" si="19"/>
        <v>44247.358974358976</v>
      </c>
      <c r="F47" s="483">
        <f t="shared" si="20"/>
        <v>422402.53166308114</v>
      </c>
      <c r="G47" s="484">
        <f t="shared" si="21"/>
        <v>97305.541076695445</v>
      </c>
      <c r="H47" s="453">
        <f t="shared" si="22"/>
        <v>97305.541076695445</v>
      </c>
      <c r="I47" s="473">
        <f t="shared" si="4"/>
        <v>0</v>
      </c>
      <c r="J47" s="473"/>
      <c r="K47" s="485"/>
      <c r="L47" s="476">
        <f t="shared" si="23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 ht="12.5">
      <c r="B48" s="160" t="str">
        <f t="shared" si="3"/>
        <v/>
      </c>
      <c r="C48" s="470">
        <f>IF(D11="","-",+C47+1)</f>
        <v>2045</v>
      </c>
      <c r="D48" s="483">
        <f>IF(F47+SUM(E$17:E47)=D$10,F47,D$10-SUM(E$17:E47))</f>
        <v>422402.53166308114</v>
      </c>
      <c r="E48" s="482">
        <f t="shared" si="19"/>
        <v>44247.358974358976</v>
      </c>
      <c r="F48" s="483">
        <f t="shared" si="20"/>
        <v>378155.17268872214</v>
      </c>
      <c r="G48" s="484">
        <f t="shared" si="21"/>
        <v>92024.222740181387</v>
      </c>
      <c r="H48" s="453">
        <f t="shared" si="22"/>
        <v>92024.222740181387</v>
      </c>
      <c r="I48" s="473">
        <f t="shared" si="4"/>
        <v>0</v>
      </c>
      <c r="J48" s="473"/>
      <c r="K48" s="485"/>
      <c r="L48" s="476">
        <f t="shared" si="23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 ht="12.5">
      <c r="B49" s="160" t="str">
        <f t="shared" si="3"/>
        <v/>
      </c>
      <c r="C49" s="470">
        <f>IF(D11="","-",+C48+1)</f>
        <v>2046</v>
      </c>
      <c r="D49" s="483">
        <f>IF(F48+SUM(E$17:E48)=D$10,F48,D$10-SUM(E$17:E48))</f>
        <v>378155.17268872214</v>
      </c>
      <c r="E49" s="482">
        <f t="shared" si="19"/>
        <v>44247.358974358976</v>
      </c>
      <c r="F49" s="483">
        <f t="shared" si="20"/>
        <v>333907.81371436315</v>
      </c>
      <c r="G49" s="484">
        <f t="shared" si="21"/>
        <v>86742.904403667329</v>
      </c>
      <c r="H49" s="453">
        <f t="shared" si="22"/>
        <v>86742.904403667329</v>
      </c>
      <c r="I49" s="473">
        <f t="shared" si="4"/>
        <v>0</v>
      </c>
      <c r="J49" s="473"/>
      <c r="K49" s="485"/>
      <c r="L49" s="476">
        <f t="shared" si="23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 ht="12.5">
      <c r="B50" s="160" t="str">
        <f t="shared" si="3"/>
        <v/>
      </c>
      <c r="C50" s="470">
        <f>IF(D11="","-",+C49+1)</f>
        <v>2047</v>
      </c>
      <c r="D50" s="483">
        <f>IF(F49+SUM(E$17:E49)=D$10,F49,D$10-SUM(E$17:E49))</f>
        <v>333907.81371436315</v>
      </c>
      <c r="E50" s="482">
        <f t="shared" si="19"/>
        <v>44247.358974358976</v>
      </c>
      <c r="F50" s="483">
        <f t="shared" si="20"/>
        <v>289660.45474000415</v>
      </c>
      <c r="G50" s="484">
        <f t="shared" si="21"/>
        <v>81461.586067153272</v>
      </c>
      <c r="H50" s="453">
        <f t="shared" si="22"/>
        <v>81461.586067153272</v>
      </c>
      <c r="I50" s="473">
        <f t="shared" si="4"/>
        <v>0</v>
      </c>
      <c r="J50" s="473"/>
      <c r="K50" s="485"/>
      <c r="L50" s="476">
        <f t="shared" si="23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 ht="12.5">
      <c r="B51" s="160" t="str">
        <f t="shared" si="3"/>
        <v/>
      </c>
      <c r="C51" s="470">
        <f>IF(D11="","-",+C50+1)</f>
        <v>2048</v>
      </c>
      <c r="D51" s="483">
        <f>IF(F50+SUM(E$17:E50)=D$10,F50,D$10-SUM(E$17:E50))</f>
        <v>289660.45474000415</v>
      </c>
      <c r="E51" s="482">
        <f t="shared" si="19"/>
        <v>44247.358974358976</v>
      </c>
      <c r="F51" s="483">
        <f t="shared" si="20"/>
        <v>245413.09576564518</v>
      </c>
      <c r="G51" s="484">
        <f t="shared" si="21"/>
        <v>76180.267730639214</v>
      </c>
      <c r="H51" s="453">
        <f t="shared" si="22"/>
        <v>76180.267730639214</v>
      </c>
      <c r="I51" s="473">
        <f t="shared" si="4"/>
        <v>0</v>
      </c>
      <c r="J51" s="473"/>
      <c r="K51" s="485"/>
      <c r="L51" s="476">
        <f t="shared" si="23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 ht="12.5">
      <c r="B52" s="160" t="str">
        <f t="shared" si="3"/>
        <v/>
      </c>
      <c r="C52" s="470">
        <f>IF(D11="","-",+C51+1)</f>
        <v>2049</v>
      </c>
      <c r="D52" s="483">
        <f>IF(F51+SUM(E$17:E51)=D$10,F51,D$10-SUM(E$17:E51))</f>
        <v>245413.09576564518</v>
      </c>
      <c r="E52" s="482">
        <f t="shared" si="19"/>
        <v>44247.358974358976</v>
      </c>
      <c r="F52" s="483">
        <f t="shared" si="20"/>
        <v>201165.73679128621</v>
      </c>
      <c r="G52" s="484">
        <f t="shared" si="21"/>
        <v>70898.949394125157</v>
      </c>
      <c r="H52" s="453">
        <f t="shared" si="22"/>
        <v>70898.949394125157</v>
      </c>
      <c r="I52" s="473">
        <f t="shared" si="4"/>
        <v>0</v>
      </c>
      <c r="J52" s="473"/>
      <c r="K52" s="485"/>
      <c r="L52" s="476">
        <f t="shared" si="23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 ht="12.5">
      <c r="B53" s="160" t="str">
        <f t="shared" si="3"/>
        <v/>
      </c>
      <c r="C53" s="470">
        <f>IF(D11="","-",+C52+1)</f>
        <v>2050</v>
      </c>
      <c r="D53" s="483">
        <f>IF(F52+SUM(E$17:E52)=D$10,F52,D$10-SUM(E$17:E52))</f>
        <v>201165.73679128621</v>
      </c>
      <c r="E53" s="482">
        <f t="shared" si="19"/>
        <v>44247.358974358976</v>
      </c>
      <c r="F53" s="483">
        <f t="shared" si="20"/>
        <v>156918.37781692724</v>
      </c>
      <c r="G53" s="484">
        <f t="shared" si="21"/>
        <v>65617.631057611099</v>
      </c>
      <c r="H53" s="453">
        <f t="shared" si="22"/>
        <v>65617.631057611099</v>
      </c>
      <c r="I53" s="473">
        <f t="shared" si="4"/>
        <v>0</v>
      </c>
      <c r="J53" s="473"/>
      <c r="K53" s="485"/>
      <c r="L53" s="476">
        <f t="shared" si="23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 ht="12.5">
      <c r="B54" s="160" t="str">
        <f t="shared" si="3"/>
        <v/>
      </c>
      <c r="C54" s="470">
        <f>IF(D11="","-",+C53+1)</f>
        <v>2051</v>
      </c>
      <c r="D54" s="483">
        <f>IF(F53+SUM(E$17:E53)=D$10,F53,D$10-SUM(E$17:E53))</f>
        <v>156918.37781692724</v>
      </c>
      <c r="E54" s="482">
        <f t="shared" si="19"/>
        <v>44247.358974358976</v>
      </c>
      <c r="F54" s="483">
        <f t="shared" si="20"/>
        <v>112671.01884256827</v>
      </c>
      <c r="G54" s="484">
        <f t="shared" si="21"/>
        <v>60336.312721097056</v>
      </c>
      <c r="H54" s="453">
        <f t="shared" si="22"/>
        <v>60336.312721097056</v>
      </c>
      <c r="I54" s="473">
        <f t="shared" si="4"/>
        <v>0</v>
      </c>
      <c r="J54" s="473"/>
      <c r="K54" s="485"/>
      <c r="L54" s="476">
        <f t="shared" si="23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 ht="12.5">
      <c r="B55" s="160" t="str">
        <f t="shared" si="3"/>
        <v/>
      </c>
      <c r="C55" s="470">
        <f>IF(D11="","-",+C54+1)</f>
        <v>2052</v>
      </c>
      <c r="D55" s="483">
        <f>IF(F54+SUM(E$17:E54)=D$10,F54,D$10-SUM(E$17:E54))</f>
        <v>112671.01884256827</v>
      </c>
      <c r="E55" s="482">
        <f t="shared" si="19"/>
        <v>44247.358974358976</v>
      </c>
      <c r="F55" s="483">
        <f t="shared" si="20"/>
        <v>68423.659868209303</v>
      </c>
      <c r="G55" s="484">
        <f t="shared" si="21"/>
        <v>55054.994384582998</v>
      </c>
      <c r="H55" s="453">
        <f t="shared" si="22"/>
        <v>55054.994384582998</v>
      </c>
      <c r="I55" s="473">
        <f t="shared" si="4"/>
        <v>0</v>
      </c>
      <c r="J55" s="473"/>
      <c r="K55" s="485"/>
      <c r="L55" s="476">
        <f t="shared" si="23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 ht="12.5">
      <c r="B56" s="160" t="str">
        <f t="shared" si="3"/>
        <v/>
      </c>
      <c r="C56" s="470">
        <f>IF(D11="","-",+C55+1)</f>
        <v>2053</v>
      </c>
      <c r="D56" s="483">
        <f>IF(F55+SUM(E$17:E55)=D$10,F55,D$10-SUM(E$17:E55))</f>
        <v>68423.659868209303</v>
      </c>
      <c r="E56" s="482">
        <f t="shared" si="19"/>
        <v>44247.358974358976</v>
      </c>
      <c r="F56" s="483">
        <f t="shared" si="20"/>
        <v>24176.300893850326</v>
      </c>
      <c r="G56" s="484">
        <f t="shared" si="21"/>
        <v>49773.676048068941</v>
      </c>
      <c r="H56" s="453">
        <f t="shared" si="22"/>
        <v>49773.676048068941</v>
      </c>
      <c r="I56" s="473">
        <f t="shared" si="4"/>
        <v>0</v>
      </c>
      <c r="J56" s="473"/>
      <c r="K56" s="485"/>
      <c r="L56" s="476">
        <f t="shared" si="23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 ht="12.5">
      <c r="B57" s="160" t="str">
        <f t="shared" si="3"/>
        <v/>
      </c>
      <c r="C57" s="470">
        <f>IF(D11="","-",+C56+1)</f>
        <v>2054</v>
      </c>
      <c r="D57" s="483">
        <f>IF(F56+SUM(E$17:E56)=D$10,F56,D$10-SUM(E$17:E56))</f>
        <v>24176.300893850326</v>
      </c>
      <c r="E57" s="482">
        <f t="shared" si="19"/>
        <v>24176.300893850326</v>
      </c>
      <c r="F57" s="483">
        <f t="shared" si="20"/>
        <v>0</v>
      </c>
      <c r="G57" s="484">
        <f t="shared" si="21"/>
        <v>25619.129846576794</v>
      </c>
      <c r="H57" s="453">
        <f t="shared" si="22"/>
        <v>25619.129846576794</v>
      </c>
      <c r="I57" s="473">
        <f t="shared" si="4"/>
        <v>0</v>
      </c>
      <c r="J57" s="473"/>
      <c r="K57" s="485"/>
      <c r="L57" s="476">
        <f t="shared" si="23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 ht="12.5">
      <c r="B58" s="160" t="str">
        <f t="shared" si="3"/>
        <v/>
      </c>
      <c r="C58" s="470">
        <f>IF(D11="","-",+C57+1)</f>
        <v>2055</v>
      </c>
      <c r="D58" s="483">
        <f>IF(F57+SUM(E$17:E57)=D$10,F57,D$10-SUM(E$17:E57))</f>
        <v>0</v>
      </c>
      <c r="E58" s="482">
        <f t="shared" si="19"/>
        <v>0</v>
      </c>
      <c r="F58" s="483">
        <f t="shared" si="20"/>
        <v>0</v>
      </c>
      <c r="G58" s="484">
        <f t="shared" si="21"/>
        <v>0</v>
      </c>
      <c r="H58" s="453">
        <f t="shared" si="22"/>
        <v>0</v>
      </c>
      <c r="I58" s="473">
        <f t="shared" si="4"/>
        <v>0</v>
      </c>
      <c r="J58" s="473"/>
      <c r="K58" s="485"/>
      <c r="L58" s="476">
        <f t="shared" si="23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 ht="12.5">
      <c r="B59" s="160" t="str">
        <f t="shared" si="3"/>
        <v/>
      </c>
      <c r="C59" s="470">
        <f>IF(D11="","-",+C58+1)</f>
        <v>2056</v>
      </c>
      <c r="D59" s="483">
        <f>IF(F58+SUM(E$17:E58)=D$10,F58,D$10-SUM(E$17:E58))</f>
        <v>0</v>
      </c>
      <c r="E59" s="482">
        <f t="shared" si="19"/>
        <v>0</v>
      </c>
      <c r="F59" s="483">
        <f t="shared" si="20"/>
        <v>0</v>
      </c>
      <c r="G59" s="484">
        <f t="shared" si="21"/>
        <v>0</v>
      </c>
      <c r="H59" s="453">
        <f t="shared" si="22"/>
        <v>0</v>
      </c>
      <c r="I59" s="473">
        <f t="shared" si="4"/>
        <v>0</v>
      </c>
      <c r="J59" s="473"/>
      <c r="K59" s="485"/>
      <c r="L59" s="476">
        <f t="shared" si="23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 ht="12.5">
      <c r="B60" s="160" t="str">
        <f t="shared" si="3"/>
        <v/>
      </c>
      <c r="C60" s="470">
        <f>IF(D11="","-",+C59+1)</f>
        <v>2057</v>
      </c>
      <c r="D60" s="483">
        <f>IF(F59+SUM(E$17:E59)=D$10,F59,D$10-SUM(E$17:E59))</f>
        <v>0</v>
      </c>
      <c r="E60" s="482">
        <f t="shared" si="19"/>
        <v>0</v>
      </c>
      <c r="F60" s="483">
        <f t="shared" si="20"/>
        <v>0</v>
      </c>
      <c r="G60" s="484">
        <f t="shared" si="21"/>
        <v>0</v>
      </c>
      <c r="H60" s="453">
        <f t="shared" si="22"/>
        <v>0</v>
      </c>
      <c r="I60" s="473">
        <f t="shared" si="4"/>
        <v>0</v>
      </c>
      <c r="J60" s="473"/>
      <c r="K60" s="485"/>
      <c r="L60" s="476">
        <f t="shared" si="23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 ht="12.5">
      <c r="B61" s="160" t="str">
        <f t="shared" si="3"/>
        <v/>
      </c>
      <c r="C61" s="470">
        <f>IF(D11="","-",+C60+1)</f>
        <v>2058</v>
      </c>
      <c r="D61" s="483">
        <f>IF(F60+SUM(E$17:E60)=D$10,F60,D$10-SUM(E$17:E60))</f>
        <v>0</v>
      </c>
      <c r="E61" s="482">
        <f t="shared" si="19"/>
        <v>0</v>
      </c>
      <c r="F61" s="483">
        <f t="shared" si="20"/>
        <v>0</v>
      </c>
      <c r="G61" s="484">
        <f t="shared" si="21"/>
        <v>0</v>
      </c>
      <c r="H61" s="453">
        <f t="shared" si="22"/>
        <v>0</v>
      </c>
      <c r="I61" s="473">
        <f t="shared" si="4"/>
        <v>0</v>
      </c>
      <c r="J61" s="473"/>
      <c r="K61" s="485"/>
      <c r="L61" s="476">
        <f t="shared" si="23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 ht="12.5">
      <c r="B62" s="160" t="str">
        <f t="shared" si="3"/>
        <v/>
      </c>
      <c r="C62" s="470">
        <f>IF(D11="","-",+C61+1)</f>
        <v>2059</v>
      </c>
      <c r="D62" s="483">
        <f>IF(F61+SUM(E$17:E61)=D$10,F61,D$10-SUM(E$17:E61))</f>
        <v>0</v>
      </c>
      <c r="E62" s="482">
        <f t="shared" si="19"/>
        <v>0</v>
      </c>
      <c r="F62" s="483">
        <f t="shared" si="20"/>
        <v>0</v>
      </c>
      <c r="G62" s="484">
        <f t="shared" si="21"/>
        <v>0</v>
      </c>
      <c r="H62" s="453">
        <f t="shared" si="22"/>
        <v>0</v>
      </c>
      <c r="I62" s="473">
        <f t="shared" si="4"/>
        <v>0</v>
      </c>
      <c r="J62" s="473"/>
      <c r="K62" s="485"/>
      <c r="L62" s="476">
        <f t="shared" si="23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 ht="12.5">
      <c r="B63" s="160" t="str">
        <f t="shared" si="3"/>
        <v/>
      </c>
      <c r="C63" s="470">
        <f>IF(D11="","-",+C62+1)</f>
        <v>2060</v>
      </c>
      <c r="D63" s="483">
        <f>IF(F62+SUM(E$17:E62)=D$10,F62,D$10-SUM(E$17:E62))</f>
        <v>0</v>
      </c>
      <c r="E63" s="482">
        <f t="shared" si="19"/>
        <v>0</v>
      </c>
      <c r="F63" s="483">
        <f t="shared" si="20"/>
        <v>0</v>
      </c>
      <c r="G63" s="484">
        <f t="shared" si="21"/>
        <v>0</v>
      </c>
      <c r="H63" s="453">
        <f t="shared" si="22"/>
        <v>0</v>
      </c>
      <c r="I63" s="473">
        <f t="shared" si="4"/>
        <v>0</v>
      </c>
      <c r="J63" s="473"/>
      <c r="K63" s="485"/>
      <c r="L63" s="476">
        <f t="shared" si="23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 ht="12.5">
      <c r="B64" s="160" t="str">
        <f t="shared" si="3"/>
        <v/>
      </c>
      <c r="C64" s="470">
        <f>IF(D11="","-",+C63+1)</f>
        <v>2061</v>
      </c>
      <c r="D64" s="483">
        <f>IF(F63+SUM(E$17:E63)=D$10,F63,D$10-SUM(E$17:E63))</f>
        <v>0</v>
      </c>
      <c r="E64" s="482">
        <f t="shared" si="19"/>
        <v>0</v>
      </c>
      <c r="F64" s="483">
        <f t="shared" si="20"/>
        <v>0</v>
      </c>
      <c r="G64" s="484">
        <f t="shared" si="21"/>
        <v>0</v>
      </c>
      <c r="H64" s="453">
        <f t="shared" si="22"/>
        <v>0</v>
      </c>
      <c r="I64" s="473">
        <f t="shared" si="4"/>
        <v>0</v>
      </c>
      <c r="J64" s="473"/>
      <c r="K64" s="485"/>
      <c r="L64" s="476">
        <f t="shared" si="23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 ht="12.5">
      <c r="B65" s="160" t="str">
        <f t="shared" si="3"/>
        <v/>
      </c>
      <c r="C65" s="470">
        <f>IF(D11="","-",+C64+1)</f>
        <v>2062</v>
      </c>
      <c r="D65" s="483">
        <f>IF(F64+SUM(E$17:E64)=D$10,F64,D$10-SUM(E$17:E64))</f>
        <v>0</v>
      </c>
      <c r="E65" s="482">
        <f t="shared" si="19"/>
        <v>0</v>
      </c>
      <c r="F65" s="483">
        <f t="shared" si="20"/>
        <v>0</v>
      </c>
      <c r="G65" s="484">
        <f t="shared" si="21"/>
        <v>0</v>
      </c>
      <c r="H65" s="453">
        <f t="shared" si="22"/>
        <v>0</v>
      </c>
      <c r="I65" s="473">
        <f t="shared" si="4"/>
        <v>0</v>
      </c>
      <c r="J65" s="473"/>
      <c r="K65" s="485"/>
      <c r="L65" s="476">
        <f t="shared" si="23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 ht="12.5">
      <c r="B66" s="160" t="str">
        <f t="shared" si="3"/>
        <v/>
      </c>
      <c r="C66" s="470">
        <f>IF(D11="","-",+C65+1)</f>
        <v>2063</v>
      </c>
      <c r="D66" s="483">
        <f>IF(F65+SUM(E$17:E65)=D$10,F65,D$10-SUM(E$17:E65))</f>
        <v>0</v>
      </c>
      <c r="E66" s="482">
        <f t="shared" si="19"/>
        <v>0</v>
      </c>
      <c r="F66" s="483">
        <f t="shared" si="20"/>
        <v>0</v>
      </c>
      <c r="G66" s="484">
        <f t="shared" si="21"/>
        <v>0</v>
      </c>
      <c r="H66" s="453">
        <f t="shared" si="22"/>
        <v>0</v>
      </c>
      <c r="I66" s="473">
        <f t="shared" si="4"/>
        <v>0</v>
      </c>
      <c r="J66" s="473"/>
      <c r="K66" s="485"/>
      <c r="L66" s="476">
        <f t="shared" si="23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 ht="12.5">
      <c r="B67" s="160" t="str">
        <f t="shared" si="3"/>
        <v/>
      </c>
      <c r="C67" s="470">
        <f>IF(D11="","-",+C66+1)</f>
        <v>2064</v>
      </c>
      <c r="D67" s="483">
        <f>IF(F66+SUM(E$17:E66)=D$10,F66,D$10-SUM(E$17:E66))</f>
        <v>0</v>
      </c>
      <c r="E67" s="482">
        <f t="shared" si="19"/>
        <v>0</v>
      </c>
      <c r="F67" s="483">
        <f t="shared" si="20"/>
        <v>0</v>
      </c>
      <c r="G67" s="484">
        <f t="shared" si="21"/>
        <v>0</v>
      </c>
      <c r="H67" s="453">
        <f t="shared" si="22"/>
        <v>0</v>
      </c>
      <c r="I67" s="473">
        <f t="shared" si="4"/>
        <v>0</v>
      </c>
      <c r="J67" s="473"/>
      <c r="K67" s="485"/>
      <c r="L67" s="476">
        <f t="shared" si="23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 ht="12.5">
      <c r="B68" s="160" t="str">
        <f t="shared" si="3"/>
        <v/>
      </c>
      <c r="C68" s="470">
        <f>IF(D11="","-",+C67+1)</f>
        <v>2065</v>
      </c>
      <c r="D68" s="483">
        <f>IF(F67+SUM(E$17:E67)=D$10,F67,D$10-SUM(E$17:E67))</f>
        <v>0</v>
      </c>
      <c r="E68" s="482">
        <f t="shared" si="19"/>
        <v>0</v>
      </c>
      <c r="F68" s="483">
        <f t="shared" si="20"/>
        <v>0</v>
      </c>
      <c r="G68" s="484">
        <f t="shared" si="21"/>
        <v>0</v>
      </c>
      <c r="H68" s="453">
        <f t="shared" si="22"/>
        <v>0</v>
      </c>
      <c r="I68" s="473">
        <f t="shared" si="4"/>
        <v>0</v>
      </c>
      <c r="J68" s="473"/>
      <c r="K68" s="485"/>
      <c r="L68" s="476">
        <f t="shared" si="23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 ht="12.5">
      <c r="B69" s="160" t="str">
        <f t="shared" si="3"/>
        <v/>
      </c>
      <c r="C69" s="470">
        <f>IF(D11="","-",+C68+1)</f>
        <v>2066</v>
      </c>
      <c r="D69" s="483">
        <f>IF(F68+SUM(E$17:E68)=D$10,F68,D$10-SUM(E$17:E68))</f>
        <v>0</v>
      </c>
      <c r="E69" s="482">
        <f t="shared" si="19"/>
        <v>0</v>
      </c>
      <c r="F69" s="483">
        <f t="shared" si="20"/>
        <v>0</v>
      </c>
      <c r="G69" s="484">
        <f t="shared" si="21"/>
        <v>0</v>
      </c>
      <c r="H69" s="453">
        <f t="shared" si="22"/>
        <v>0</v>
      </c>
      <c r="I69" s="473">
        <f t="shared" si="4"/>
        <v>0</v>
      </c>
      <c r="J69" s="473"/>
      <c r="K69" s="485"/>
      <c r="L69" s="476">
        <f t="shared" si="23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 ht="12.5">
      <c r="B70" s="160" t="str">
        <f t="shared" si="3"/>
        <v/>
      </c>
      <c r="C70" s="470">
        <f>IF(D11="","-",+C69+1)</f>
        <v>2067</v>
      </c>
      <c r="D70" s="483">
        <f>IF(F69+SUM(E$17:E69)=D$10,F69,D$10-SUM(E$17:E69))</f>
        <v>0</v>
      </c>
      <c r="E70" s="482">
        <f t="shared" si="19"/>
        <v>0</v>
      </c>
      <c r="F70" s="483">
        <f t="shared" si="20"/>
        <v>0</v>
      </c>
      <c r="G70" s="484">
        <f t="shared" si="21"/>
        <v>0</v>
      </c>
      <c r="H70" s="453">
        <f t="shared" si="22"/>
        <v>0</v>
      </c>
      <c r="I70" s="473">
        <f t="shared" si="4"/>
        <v>0</v>
      </c>
      <c r="J70" s="473"/>
      <c r="K70" s="485"/>
      <c r="L70" s="476">
        <f t="shared" si="23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 ht="12.5">
      <c r="B71" s="160" t="str">
        <f t="shared" si="3"/>
        <v/>
      </c>
      <c r="C71" s="470">
        <f>IF(D11="","-",+C70+1)</f>
        <v>2068</v>
      </c>
      <c r="D71" s="483">
        <f>IF(F70+SUM(E$17:E70)=D$10,F70,D$10-SUM(E$17:E70))</f>
        <v>0</v>
      </c>
      <c r="E71" s="482">
        <f t="shared" si="19"/>
        <v>0</v>
      </c>
      <c r="F71" s="483">
        <f t="shared" si="20"/>
        <v>0</v>
      </c>
      <c r="G71" s="484">
        <f t="shared" si="21"/>
        <v>0</v>
      </c>
      <c r="H71" s="453">
        <f t="shared" si="22"/>
        <v>0</v>
      </c>
      <c r="I71" s="473">
        <f t="shared" si="4"/>
        <v>0</v>
      </c>
      <c r="J71" s="473"/>
      <c r="K71" s="485"/>
      <c r="L71" s="476">
        <f t="shared" si="23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" thickBot="1">
      <c r="B72" s="160" t="str">
        <f t="shared" si="3"/>
        <v/>
      </c>
      <c r="C72" s="487">
        <f>IF(D11="","-",+C71+1)</f>
        <v>2069</v>
      </c>
      <c r="D72" s="488">
        <f>IF(F71+SUM(E$17:E71)=D$10,F71,D$10-SUM(E$17:E71))</f>
        <v>0</v>
      </c>
      <c r="E72" s="489">
        <f t="shared" si="19"/>
        <v>0</v>
      </c>
      <c r="F72" s="488">
        <f t="shared" si="20"/>
        <v>0</v>
      </c>
      <c r="G72" s="488">
        <f t="shared" si="21"/>
        <v>0</v>
      </c>
      <c r="H72" s="488">
        <f t="shared" si="22"/>
        <v>0</v>
      </c>
      <c r="I72" s="491">
        <f t="shared" si="4"/>
        <v>0</v>
      </c>
      <c r="J72" s="473"/>
      <c r="K72" s="492"/>
      <c r="L72" s="493">
        <f t="shared" si="23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 ht="12.5">
      <c r="C73" s="345" t="s">
        <v>77</v>
      </c>
      <c r="D73" s="346"/>
      <c r="E73" s="346">
        <f>SUM(E17:E72)</f>
        <v>1725647.0000000002</v>
      </c>
      <c r="F73" s="346"/>
      <c r="G73" s="346">
        <f>SUM(G17:G72)</f>
        <v>6063554.8859807886</v>
      </c>
      <c r="H73" s="346">
        <f>SUM(H17:H72)</f>
        <v>6063554.8859807886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18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205572.35897435897</v>
      </c>
      <c r="N87" s="506">
        <f>IF(J92&lt;D11,0,VLOOKUP(J92,C17:O72,11))</f>
        <v>205572.35897435897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203783.92534158818</v>
      </c>
      <c r="N88" s="510">
        <f>IF(J92&lt;D11,0,VLOOKUP(J92,C99:P154,7))</f>
        <v>203783.92534158818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Darlington-Red Rock 138 kV line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-1788.4336327707861</v>
      </c>
      <c r="N89" s="515">
        <f>+N88-N87</f>
        <v>-1788.4336327707861</v>
      </c>
      <c r="O89" s="516">
        <f>+O88-O87</f>
        <v>0</v>
      </c>
      <c r="P89" s="231"/>
    </row>
    <row r="90" spans="1:16" ht="13.5" thickBot="1">
      <c r="C90" s="494"/>
      <c r="D90" s="608" t="s">
        <v>269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TP2012112</v>
      </c>
      <c r="E91" s="520" t="str">
        <f>E9</f>
        <v xml:space="preserve">  SPP Project ID = 30346</v>
      </c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606">
        <f>D10</f>
        <v>1725647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2014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4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45412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2014</v>
      </c>
      <c r="D99" s="582"/>
      <c r="E99" s="583"/>
      <c r="F99" s="584"/>
      <c r="G99" s="602"/>
      <c r="H99" s="603"/>
      <c r="I99" s="604"/>
      <c r="J99" s="476">
        <v>0</v>
      </c>
      <c r="K99" s="476"/>
      <c r="L99" s="474">
        <f t="shared" ref="L99:L104" si="24">H99</f>
        <v>0</v>
      </c>
      <c r="M99" s="347">
        <f t="shared" ref="M99:M104" si="25">IF(L99&lt;&gt;0,+H99-L99,0)</f>
        <v>0</v>
      </c>
      <c r="N99" s="474">
        <f t="shared" ref="N99:N104" si="26">I99</f>
        <v>0</v>
      </c>
      <c r="O99" s="473">
        <f>IF(N99&lt;&gt;0,+I99-N99,0)</f>
        <v>0</v>
      </c>
      <c r="P99" s="476">
        <f>+O99-M99</f>
        <v>0</v>
      </c>
    </row>
    <row r="100" spans="1:16" ht="12.5">
      <c r="B100" s="160" t="str">
        <f>IF(D100=F99,"","IU")</f>
        <v>IU</v>
      </c>
      <c r="C100" s="470">
        <f>IF(D93="","-",+C99+1)</f>
        <v>2015</v>
      </c>
      <c r="D100" s="582">
        <v>1703523.1724358976</v>
      </c>
      <c r="E100" s="583">
        <v>32760</v>
      </c>
      <c r="F100" s="584">
        <v>1670763.1724358976</v>
      </c>
      <c r="G100" s="584">
        <v>1687143.1724358976</v>
      </c>
      <c r="H100" s="603">
        <v>262957.1205792831</v>
      </c>
      <c r="I100" s="604">
        <v>262957.1205792831</v>
      </c>
      <c r="J100" s="476">
        <f>+I100-H100</f>
        <v>0</v>
      </c>
      <c r="K100" s="476"/>
      <c r="L100" s="474">
        <f t="shared" si="24"/>
        <v>262957.1205792831</v>
      </c>
      <c r="M100" s="347">
        <f t="shared" si="25"/>
        <v>0</v>
      </c>
      <c r="N100" s="474">
        <f t="shared" si="26"/>
        <v>262957.1205792831</v>
      </c>
      <c r="O100" s="473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27">IF(D101=F100,"","IU")</f>
        <v>IU</v>
      </c>
      <c r="C101" s="470">
        <f>IF(D93="","-",+C100+1)</f>
        <v>2016</v>
      </c>
      <c r="D101" s="582">
        <v>1692887</v>
      </c>
      <c r="E101" s="583">
        <v>37514</v>
      </c>
      <c r="F101" s="584">
        <v>1655373</v>
      </c>
      <c r="G101" s="584">
        <v>1674130</v>
      </c>
      <c r="H101" s="603">
        <v>250555.65084872485</v>
      </c>
      <c r="I101" s="604">
        <v>250555.65084872485</v>
      </c>
      <c r="J101" s="476">
        <f t="shared" ref="J101:J154" si="28">+I101-H101</f>
        <v>0</v>
      </c>
      <c r="K101" s="476"/>
      <c r="L101" s="474">
        <f t="shared" si="24"/>
        <v>250555.65084872485</v>
      </c>
      <c r="M101" s="347">
        <f t="shared" si="25"/>
        <v>0</v>
      </c>
      <c r="N101" s="474">
        <f t="shared" si="26"/>
        <v>250555.65084872485</v>
      </c>
      <c r="O101" s="473">
        <f>IF(N101&lt;&gt;0,+I101-N101,0)</f>
        <v>0</v>
      </c>
      <c r="P101" s="476">
        <f>+O101-M101</f>
        <v>0</v>
      </c>
    </row>
    <row r="102" spans="1:16" ht="12.5">
      <c r="B102" s="160" t="str">
        <f t="shared" si="27"/>
        <v/>
      </c>
      <c r="C102" s="470">
        <f>IF(D93="","-",+C101+1)</f>
        <v>2017</v>
      </c>
      <c r="D102" s="582">
        <v>1655373</v>
      </c>
      <c r="E102" s="583">
        <v>37514</v>
      </c>
      <c r="F102" s="584">
        <v>1617859</v>
      </c>
      <c r="G102" s="584">
        <v>1636616</v>
      </c>
      <c r="H102" s="603">
        <v>245122.86632871011</v>
      </c>
      <c r="I102" s="604">
        <v>245122.86632871011</v>
      </c>
      <c r="J102" s="476">
        <f t="shared" si="28"/>
        <v>0</v>
      </c>
      <c r="K102" s="476"/>
      <c r="L102" s="474">
        <f t="shared" si="24"/>
        <v>245122.86632871011</v>
      </c>
      <c r="M102" s="347">
        <f t="shared" si="25"/>
        <v>0</v>
      </c>
      <c r="N102" s="474">
        <f t="shared" si="26"/>
        <v>245122.86632871011</v>
      </c>
      <c r="O102" s="473">
        <f>IF(N102&lt;&gt;0,+I102-N102,0)</f>
        <v>0</v>
      </c>
      <c r="P102" s="476">
        <f>+O102-M102</f>
        <v>0</v>
      </c>
    </row>
    <row r="103" spans="1:16" ht="12.5">
      <c r="B103" s="160" t="str">
        <f t="shared" si="27"/>
        <v/>
      </c>
      <c r="C103" s="470">
        <f>IF(D93="","-",+C102+1)</f>
        <v>2018</v>
      </c>
      <c r="D103" s="582">
        <v>1617859</v>
      </c>
      <c r="E103" s="583">
        <v>40131</v>
      </c>
      <c r="F103" s="584">
        <v>1577728</v>
      </c>
      <c r="G103" s="584">
        <v>1597793.5</v>
      </c>
      <c r="H103" s="603">
        <v>204281.22089486517</v>
      </c>
      <c r="I103" s="604">
        <v>204281.22089486517</v>
      </c>
      <c r="J103" s="476">
        <f t="shared" si="28"/>
        <v>0</v>
      </c>
      <c r="K103" s="476"/>
      <c r="L103" s="474">
        <f t="shared" si="24"/>
        <v>204281.22089486517</v>
      </c>
      <c r="M103" s="347">
        <f t="shared" si="25"/>
        <v>0</v>
      </c>
      <c r="N103" s="474">
        <f t="shared" si="26"/>
        <v>204281.22089486517</v>
      </c>
      <c r="O103" s="473">
        <f>IF(N103&lt;&gt;0,+I103-N103,0)</f>
        <v>0</v>
      </c>
      <c r="P103" s="476">
        <f>+O103-M103</f>
        <v>0</v>
      </c>
    </row>
    <row r="104" spans="1:16" ht="12.5">
      <c r="B104" s="160" t="str">
        <f t="shared" si="27"/>
        <v/>
      </c>
      <c r="C104" s="470">
        <f>IF(D93="","-",+C103+1)</f>
        <v>2019</v>
      </c>
      <c r="D104" s="582">
        <v>1577728</v>
      </c>
      <c r="E104" s="583">
        <v>42089</v>
      </c>
      <c r="F104" s="584">
        <v>1535639</v>
      </c>
      <c r="G104" s="584">
        <v>1556683.5</v>
      </c>
      <c r="H104" s="603">
        <v>202604.90301828689</v>
      </c>
      <c r="I104" s="604">
        <v>202604.90301828689</v>
      </c>
      <c r="J104" s="476">
        <f t="shared" si="28"/>
        <v>0</v>
      </c>
      <c r="K104" s="476"/>
      <c r="L104" s="474">
        <f t="shared" si="24"/>
        <v>202604.90301828689</v>
      </c>
      <c r="M104" s="347">
        <f t="shared" si="25"/>
        <v>0</v>
      </c>
      <c r="N104" s="474">
        <f t="shared" si="26"/>
        <v>202604.90301828689</v>
      </c>
      <c r="O104" s="476">
        <f t="shared" ref="O104:O130" si="29">IF(N104&lt;&gt;0,+I104-N104,0)</f>
        <v>0</v>
      </c>
      <c r="P104" s="476">
        <f t="shared" ref="P104:P130" si="30">+O104-M104</f>
        <v>0</v>
      </c>
    </row>
    <row r="105" spans="1:16" ht="12.5">
      <c r="B105" s="160" t="str">
        <f t="shared" si="27"/>
        <v/>
      </c>
      <c r="C105" s="470">
        <f>IF(D93="","-",+C104+1)</f>
        <v>2020</v>
      </c>
      <c r="D105" s="582">
        <v>1535639</v>
      </c>
      <c r="E105" s="583">
        <v>40131</v>
      </c>
      <c r="F105" s="584">
        <v>1495508</v>
      </c>
      <c r="G105" s="584">
        <v>1515573.5</v>
      </c>
      <c r="H105" s="603">
        <v>214872.45782422918</v>
      </c>
      <c r="I105" s="604">
        <v>214872.45782422918</v>
      </c>
      <c r="J105" s="476">
        <f t="shared" si="28"/>
        <v>0</v>
      </c>
      <c r="K105" s="476"/>
      <c r="L105" s="474">
        <f t="shared" ref="L105" si="31">H105</f>
        <v>214872.45782422918</v>
      </c>
      <c r="M105" s="347">
        <f t="shared" ref="M105" si="32">IF(L105&lt;&gt;0,+H105-L105,0)</f>
        <v>0</v>
      </c>
      <c r="N105" s="474">
        <f t="shared" ref="N105" si="33">I105</f>
        <v>214872.45782422918</v>
      </c>
      <c r="O105" s="476">
        <f t="shared" si="29"/>
        <v>0</v>
      </c>
      <c r="P105" s="476">
        <f t="shared" si="30"/>
        <v>0</v>
      </c>
    </row>
    <row r="106" spans="1:16" ht="12.5">
      <c r="B106" s="160" t="str">
        <f t="shared" si="27"/>
        <v/>
      </c>
      <c r="C106" s="470">
        <f>IF(D93="","-",+C105+1)</f>
        <v>2021</v>
      </c>
      <c r="D106" s="582">
        <v>1495508</v>
      </c>
      <c r="E106" s="583">
        <v>42089</v>
      </c>
      <c r="F106" s="584">
        <v>1453419</v>
      </c>
      <c r="G106" s="584">
        <v>1474463.5</v>
      </c>
      <c r="H106" s="603">
        <v>209872.31988794773</v>
      </c>
      <c r="I106" s="604">
        <v>209872.31988794773</v>
      </c>
      <c r="J106" s="476">
        <f t="shared" si="28"/>
        <v>0</v>
      </c>
      <c r="K106" s="476"/>
      <c r="L106" s="474">
        <f t="shared" ref="L106" si="34">H106</f>
        <v>209872.31988794773</v>
      </c>
      <c r="M106" s="347">
        <f t="shared" ref="M106" si="35">IF(L106&lt;&gt;0,+H106-L106,0)</f>
        <v>0</v>
      </c>
      <c r="N106" s="474">
        <f t="shared" ref="N106" si="36">I106</f>
        <v>209872.31988794773</v>
      </c>
      <c r="O106" s="476">
        <f t="shared" si="29"/>
        <v>0</v>
      </c>
      <c r="P106" s="476">
        <f t="shared" si="30"/>
        <v>0</v>
      </c>
    </row>
    <row r="107" spans="1:16" ht="12.5">
      <c r="B107" s="160" t="str">
        <f t="shared" si="27"/>
        <v/>
      </c>
      <c r="C107" s="470">
        <f>IF(D93="","-",+C106+1)</f>
        <v>2022</v>
      </c>
      <c r="D107" s="582">
        <v>1453419</v>
      </c>
      <c r="E107" s="583">
        <v>44247</v>
      </c>
      <c r="F107" s="584">
        <v>1409172</v>
      </c>
      <c r="G107" s="584">
        <v>1431295.5</v>
      </c>
      <c r="H107" s="603">
        <v>201950.93523897958</v>
      </c>
      <c r="I107" s="604">
        <v>201950.93523897958</v>
      </c>
      <c r="J107" s="476">
        <f t="shared" si="28"/>
        <v>0</v>
      </c>
      <c r="K107" s="476"/>
      <c r="L107" s="474">
        <f t="shared" ref="L107" si="37">H107</f>
        <v>201950.93523897958</v>
      </c>
      <c r="M107" s="347">
        <f t="shared" ref="M107" si="38">IF(L107&lt;&gt;0,+H107-L107,0)</f>
        <v>0</v>
      </c>
      <c r="N107" s="474">
        <f t="shared" ref="N107" si="39">I107</f>
        <v>201950.93523897958</v>
      </c>
      <c r="O107" s="476">
        <f t="shared" ref="O107" si="40">IF(N107&lt;&gt;0,+I107-N107,0)</f>
        <v>0</v>
      </c>
      <c r="P107" s="476">
        <f t="shared" ref="P107" si="41">+O107-M107</f>
        <v>0</v>
      </c>
    </row>
    <row r="108" spans="1:16" ht="12.5">
      <c r="B108" s="160" t="str">
        <f t="shared" si="27"/>
        <v/>
      </c>
      <c r="C108" s="470">
        <f>IF(D93="","-",+C107+1)</f>
        <v>2023</v>
      </c>
      <c r="D108" s="345">
        <f>IF(F107+SUM(E$99:E107)=D$92,F107,D$92-SUM(E$99:E107))</f>
        <v>1409172</v>
      </c>
      <c r="E108" s="482">
        <f t="shared" ref="E108:E154" si="42">IF(+J$96&lt;F107,J$96,D108)</f>
        <v>45412</v>
      </c>
      <c r="F108" s="483">
        <f t="shared" ref="F108:F154" si="43">+D108-E108</f>
        <v>1363760</v>
      </c>
      <c r="G108" s="483">
        <f t="shared" ref="G108:G154" si="44">+(F108+D108)/2</f>
        <v>1386466</v>
      </c>
      <c r="H108" s="484">
        <f t="shared" ref="H108:H153" si="45">(D108+F108)/2*J$94+E108</f>
        <v>203783.92534158818</v>
      </c>
      <c r="I108" s="540">
        <f t="shared" ref="I108:I153" si="46">+J$95*G108+E108</f>
        <v>203783.92534158818</v>
      </c>
      <c r="J108" s="476">
        <f t="shared" si="28"/>
        <v>0</v>
      </c>
      <c r="K108" s="476"/>
      <c r="L108" s="485"/>
      <c r="M108" s="476">
        <f t="shared" ref="M108:M130" si="47">IF(L108&lt;&gt;0,+H108-L108,0)</f>
        <v>0</v>
      </c>
      <c r="N108" s="485"/>
      <c r="O108" s="476">
        <f t="shared" si="29"/>
        <v>0</v>
      </c>
      <c r="P108" s="476">
        <f t="shared" si="30"/>
        <v>0</v>
      </c>
    </row>
    <row r="109" spans="1:16" ht="12.5">
      <c r="B109" s="160" t="str">
        <f t="shared" si="27"/>
        <v/>
      </c>
      <c r="C109" s="470">
        <f>IF(D93="","-",+C108+1)</f>
        <v>2024</v>
      </c>
      <c r="D109" s="345">
        <f>IF(F108+SUM(E$99:E108)=D$92,F108,D$92-SUM(E$99:E108))</f>
        <v>1363760</v>
      </c>
      <c r="E109" s="482">
        <f t="shared" si="42"/>
        <v>45412</v>
      </c>
      <c r="F109" s="483">
        <f t="shared" si="43"/>
        <v>1318348</v>
      </c>
      <c r="G109" s="483">
        <f t="shared" si="44"/>
        <v>1341054</v>
      </c>
      <c r="H109" s="484">
        <f t="shared" si="45"/>
        <v>198596.64640823373</v>
      </c>
      <c r="I109" s="540">
        <f t="shared" si="46"/>
        <v>198596.64640823373</v>
      </c>
      <c r="J109" s="476">
        <f t="shared" si="28"/>
        <v>0</v>
      </c>
      <c r="K109" s="476"/>
      <c r="L109" s="485"/>
      <c r="M109" s="476">
        <f t="shared" si="47"/>
        <v>0</v>
      </c>
      <c r="N109" s="485"/>
      <c r="O109" s="476">
        <f t="shared" si="29"/>
        <v>0</v>
      </c>
      <c r="P109" s="476">
        <f t="shared" si="30"/>
        <v>0</v>
      </c>
    </row>
    <row r="110" spans="1:16" ht="12.5">
      <c r="B110" s="160" t="str">
        <f t="shared" si="27"/>
        <v/>
      </c>
      <c r="C110" s="470">
        <f>IF(D93="","-",+C109+1)</f>
        <v>2025</v>
      </c>
      <c r="D110" s="345">
        <f>IF(F109+SUM(E$99:E109)=D$92,F109,D$92-SUM(E$99:E109))</f>
        <v>1318348</v>
      </c>
      <c r="E110" s="482">
        <f t="shared" si="42"/>
        <v>45412</v>
      </c>
      <c r="F110" s="483">
        <f t="shared" si="43"/>
        <v>1272936</v>
      </c>
      <c r="G110" s="483">
        <f t="shared" si="44"/>
        <v>1295642</v>
      </c>
      <c r="H110" s="484">
        <f t="shared" si="45"/>
        <v>193409.36747487928</v>
      </c>
      <c r="I110" s="540">
        <f t="shared" si="46"/>
        <v>193409.36747487928</v>
      </c>
      <c r="J110" s="476">
        <f t="shared" si="28"/>
        <v>0</v>
      </c>
      <c r="K110" s="476"/>
      <c r="L110" s="485"/>
      <c r="M110" s="476">
        <f t="shared" si="47"/>
        <v>0</v>
      </c>
      <c r="N110" s="485"/>
      <c r="O110" s="476">
        <f t="shared" si="29"/>
        <v>0</v>
      </c>
      <c r="P110" s="476">
        <f t="shared" si="30"/>
        <v>0</v>
      </c>
    </row>
    <row r="111" spans="1:16" ht="12.5">
      <c r="B111" s="160" t="str">
        <f t="shared" si="27"/>
        <v/>
      </c>
      <c r="C111" s="470">
        <f>IF(D93="","-",+C110+1)</f>
        <v>2026</v>
      </c>
      <c r="D111" s="345">
        <f>IF(F110+SUM(E$99:E110)=D$92,F110,D$92-SUM(E$99:E110))</f>
        <v>1272936</v>
      </c>
      <c r="E111" s="482">
        <f t="shared" si="42"/>
        <v>45412</v>
      </c>
      <c r="F111" s="483">
        <f t="shared" si="43"/>
        <v>1227524</v>
      </c>
      <c r="G111" s="483">
        <f t="shared" si="44"/>
        <v>1250230</v>
      </c>
      <c r="H111" s="484">
        <f t="shared" si="45"/>
        <v>188222.08854152486</v>
      </c>
      <c r="I111" s="540">
        <f t="shared" si="46"/>
        <v>188222.08854152486</v>
      </c>
      <c r="J111" s="476">
        <f t="shared" si="28"/>
        <v>0</v>
      </c>
      <c r="K111" s="476"/>
      <c r="L111" s="485"/>
      <c r="M111" s="476">
        <f t="shared" si="47"/>
        <v>0</v>
      </c>
      <c r="N111" s="485"/>
      <c r="O111" s="476">
        <f t="shared" si="29"/>
        <v>0</v>
      </c>
      <c r="P111" s="476">
        <f t="shared" si="30"/>
        <v>0</v>
      </c>
    </row>
    <row r="112" spans="1:16" ht="12.5">
      <c r="B112" s="160" t="str">
        <f t="shared" si="27"/>
        <v/>
      </c>
      <c r="C112" s="470">
        <f>IF(D93="","-",+C111+1)</f>
        <v>2027</v>
      </c>
      <c r="D112" s="345">
        <f>IF(F111+SUM(E$99:E111)=D$92,F111,D$92-SUM(E$99:E111))</f>
        <v>1227524</v>
      </c>
      <c r="E112" s="482">
        <f t="shared" si="42"/>
        <v>45412</v>
      </c>
      <c r="F112" s="483">
        <f t="shared" si="43"/>
        <v>1182112</v>
      </c>
      <c r="G112" s="483">
        <f t="shared" si="44"/>
        <v>1204818</v>
      </c>
      <c r="H112" s="484">
        <f t="shared" si="45"/>
        <v>183034.80960817041</v>
      </c>
      <c r="I112" s="540">
        <f t="shared" si="46"/>
        <v>183034.80960817041</v>
      </c>
      <c r="J112" s="476">
        <f t="shared" si="28"/>
        <v>0</v>
      </c>
      <c r="K112" s="476"/>
      <c r="L112" s="485"/>
      <c r="M112" s="476">
        <f t="shared" si="47"/>
        <v>0</v>
      </c>
      <c r="N112" s="485"/>
      <c r="O112" s="476">
        <f t="shared" si="29"/>
        <v>0</v>
      </c>
      <c r="P112" s="476">
        <f t="shared" si="30"/>
        <v>0</v>
      </c>
    </row>
    <row r="113" spans="2:16" ht="12.5">
      <c r="B113" s="160" t="str">
        <f t="shared" si="27"/>
        <v/>
      </c>
      <c r="C113" s="470">
        <f>IF(D93="","-",+C112+1)</f>
        <v>2028</v>
      </c>
      <c r="D113" s="345">
        <f>IF(F112+SUM(E$99:E112)=D$92,F112,D$92-SUM(E$99:E112))</f>
        <v>1182112</v>
      </c>
      <c r="E113" s="482">
        <f t="shared" si="42"/>
        <v>45412</v>
      </c>
      <c r="F113" s="483">
        <f t="shared" si="43"/>
        <v>1136700</v>
      </c>
      <c r="G113" s="483">
        <f t="shared" si="44"/>
        <v>1159406</v>
      </c>
      <c r="H113" s="484">
        <f t="shared" si="45"/>
        <v>177847.53067481596</v>
      </c>
      <c r="I113" s="540">
        <f t="shared" si="46"/>
        <v>177847.53067481596</v>
      </c>
      <c r="J113" s="476">
        <f t="shared" si="28"/>
        <v>0</v>
      </c>
      <c r="K113" s="476"/>
      <c r="L113" s="485"/>
      <c r="M113" s="476">
        <f t="shared" si="47"/>
        <v>0</v>
      </c>
      <c r="N113" s="485"/>
      <c r="O113" s="476">
        <f t="shared" si="29"/>
        <v>0</v>
      </c>
      <c r="P113" s="476">
        <f t="shared" si="30"/>
        <v>0</v>
      </c>
    </row>
    <row r="114" spans="2:16" ht="12.5">
      <c r="B114" s="160" t="str">
        <f t="shared" si="27"/>
        <v/>
      </c>
      <c r="C114" s="470">
        <f>IF(D93="","-",+C113+1)</f>
        <v>2029</v>
      </c>
      <c r="D114" s="345">
        <f>IF(F113+SUM(E$99:E113)=D$92,F113,D$92-SUM(E$99:E113))</f>
        <v>1136700</v>
      </c>
      <c r="E114" s="482">
        <f t="shared" si="42"/>
        <v>45412</v>
      </c>
      <c r="F114" s="483">
        <f t="shared" si="43"/>
        <v>1091288</v>
      </c>
      <c r="G114" s="483">
        <f t="shared" si="44"/>
        <v>1113994</v>
      </c>
      <c r="H114" s="484">
        <f t="shared" si="45"/>
        <v>172660.25174146151</v>
      </c>
      <c r="I114" s="540">
        <f t="shared" si="46"/>
        <v>172660.25174146151</v>
      </c>
      <c r="J114" s="476">
        <f t="shared" si="28"/>
        <v>0</v>
      </c>
      <c r="K114" s="476"/>
      <c r="L114" s="485"/>
      <c r="M114" s="476">
        <f t="shared" si="47"/>
        <v>0</v>
      </c>
      <c r="N114" s="485"/>
      <c r="O114" s="476">
        <f t="shared" si="29"/>
        <v>0</v>
      </c>
      <c r="P114" s="476">
        <f t="shared" si="30"/>
        <v>0</v>
      </c>
    </row>
    <row r="115" spans="2:16" ht="12.5">
      <c r="B115" s="160" t="str">
        <f t="shared" si="27"/>
        <v/>
      </c>
      <c r="C115" s="470">
        <f>IF(D93="","-",+C114+1)</f>
        <v>2030</v>
      </c>
      <c r="D115" s="345">
        <f>IF(F114+SUM(E$99:E114)=D$92,F114,D$92-SUM(E$99:E114))</f>
        <v>1091288</v>
      </c>
      <c r="E115" s="482">
        <f t="shared" si="42"/>
        <v>45412</v>
      </c>
      <c r="F115" s="483">
        <f t="shared" si="43"/>
        <v>1045876</v>
      </c>
      <c r="G115" s="483">
        <f t="shared" si="44"/>
        <v>1068582</v>
      </c>
      <c r="H115" s="484">
        <f t="shared" si="45"/>
        <v>167472.97280810709</v>
      </c>
      <c r="I115" s="540">
        <f t="shared" si="46"/>
        <v>167472.97280810709</v>
      </c>
      <c r="J115" s="476">
        <f t="shared" si="28"/>
        <v>0</v>
      </c>
      <c r="K115" s="476"/>
      <c r="L115" s="485"/>
      <c r="M115" s="476">
        <f t="shared" si="47"/>
        <v>0</v>
      </c>
      <c r="N115" s="485"/>
      <c r="O115" s="476">
        <f t="shared" si="29"/>
        <v>0</v>
      </c>
      <c r="P115" s="476">
        <f t="shared" si="30"/>
        <v>0</v>
      </c>
    </row>
    <row r="116" spans="2:16" ht="12.5">
      <c r="B116" s="160" t="str">
        <f t="shared" si="27"/>
        <v/>
      </c>
      <c r="C116" s="470">
        <f>IF(D93="","-",+C115+1)</f>
        <v>2031</v>
      </c>
      <c r="D116" s="345">
        <f>IF(F115+SUM(E$99:E115)=D$92,F115,D$92-SUM(E$99:E115))</f>
        <v>1045876</v>
      </c>
      <c r="E116" s="482">
        <f t="shared" si="42"/>
        <v>45412</v>
      </c>
      <c r="F116" s="483">
        <f t="shared" si="43"/>
        <v>1000464</v>
      </c>
      <c r="G116" s="483">
        <f t="shared" si="44"/>
        <v>1023170</v>
      </c>
      <c r="H116" s="484">
        <f t="shared" si="45"/>
        <v>162285.69387475261</v>
      </c>
      <c r="I116" s="540">
        <f t="shared" si="46"/>
        <v>162285.69387475261</v>
      </c>
      <c r="J116" s="476">
        <f t="shared" si="28"/>
        <v>0</v>
      </c>
      <c r="K116" s="476"/>
      <c r="L116" s="485"/>
      <c r="M116" s="476">
        <f t="shared" si="47"/>
        <v>0</v>
      </c>
      <c r="N116" s="485"/>
      <c r="O116" s="476">
        <f t="shared" si="29"/>
        <v>0</v>
      </c>
      <c r="P116" s="476">
        <f t="shared" si="30"/>
        <v>0</v>
      </c>
    </row>
    <row r="117" spans="2:16" ht="12.5">
      <c r="B117" s="160" t="str">
        <f t="shared" si="27"/>
        <v/>
      </c>
      <c r="C117" s="470">
        <f>IF(D93="","-",+C116+1)</f>
        <v>2032</v>
      </c>
      <c r="D117" s="345">
        <f>IF(F116+SUM(E$99:E116)=D$92,F116,D$92-SUM(E$99:E116))</f>
        <v>1000464</v>
      </c>
      <c r="E117" s="482">
        <f t="shared" si="42"/>
        <v>45412</v>
      </c>
      <c r="F117" s="483">
        <f t="shared" si="43"/>
        <v>955052</v>
      </c>
      <c r="G117" s="483">
        <f t="shared" si="44"/>
        <v>977758</v>
      </c>
      <c r="H117" s="484">
        <f t="shared" si="45"/>
        <v>157098.41494139819</v>
      </c>
      <c r="I117" s="540">
        <f t="shared" si="46"/>
        <v>157098.41494139819</v>
      </c>
      <c r="J117" s="476">
        <f t="shared" si="28"/>
        <v>0</v>
      </c>
      <c r="K117" s="476"/>
      <c r="L117" s="485"/>
      <c r="M117" s="476">
        <f t="shared" si="47"/>
        <v>0</v>
      </c>
      <c r="N117" s="485"/>
      <c r="O117" s="476">
        <f t="shared" si="29"/>
        <v>0</v>
      </c>
      <c r="P117" s="476">
        <f t="shared" si="30"/>
        <v>0</v>
      </c>
    </row>
    <row r="118" spans="2:16" ht="12.5">
      <c r="B118" s="160" t="str">
        <f t="shared" si="27"/>
        <v/>
      </c>
      <c r="C118" s="470">
        <f>IF(D93="","-",+C117+1)</f>
        <v>2033</v>
      </c>
      <c r="D118" s="345">
        <f>IF(F117+SUM(E$99:E117)=D$92,F117,D$92-SUM(E$99:E117))</f>
        <v>955052</v>
      </c>
      <c r="E118" s="482">
        <f t="shared" si="42"/>
        <v>45412</v>
      </c>
      <c r="F118" s="483">
        <f t="shared" si="43"/>
        <v>909640</v>
      </c>
      <c r="G118" s="483">
        <f t="shared" si="44"/>
        <v>932346</v>
      </c>
      <c r="H118" s="484">
        <f t="shared" si="45"/>
        <v>151911.13600804374</v>
      </c>
      <c r="I118" s="540">
        <f t="shared" si="46"/>
        <v>151911.13600804374</v>
      </c>
      <c r="J118" s="476">
        <f t="shared" si="28"/>
        <v>0</v>
      </c>
      <c r="K118" s="476"/>
      <c r="L118" s="485"/>
      <c r="M118" s="476">
        <f t="shared" si="47"/>
        <v>0</v>
      </c>
      <c r="N118" s="485"/>
      <c r="O118" s="476">
        <f t="shared" si="29"/>
        <v>0</v>
      </c>
      <c r="P118" s="476">
        <f t="shared" si="30"/>
        <v>0</v>
      </c>
    </row>
    <row r="119" spans="2:16" ht="12.5">
      <c r="B119" s="160" t="str">
        <f t="shared" si="27"/>
        <v/>
      </c>
      <c r="C119" s="470">
        <f>IF(D93="","-",+C118+1)</f>
        <v>2034</v>
      </c>
      <c r="D119" s="345">
        <f>IF(F118+SUM(E$99:E118)=D$92,F118,D$92-SUM(E$99:E118))</f>
        <v>909640</v>
      </c>
      <c r="E119" s="482">
        <f t="shared" si="42"/>
        <v>45412</v>
      </c>
      <c r="F119" s="483">
        <f t="shared" si="43"/>
        <v>864228</v>
      </c>
      <c r="G119" s="483">
        <f t="shared" si="44"/>
        <v>886934</v>
      </c>
      <c r="H119" s="484">
        <f t="shared" si="45"/>
        <v>146723.85707468929</v>
      </c>
      <c r="I119" s="540">
        <f t="shared" si="46"/>
        <v>146723.85707468929</v>
      </c>
      <c r="J119" s="476">
        <f t="shared" si="28"/>
        <v>0</v>
      </c>
      <c r="K119" s="476"/>
      <c r="L119" s="485"/>
      <c r="M119" s="476">
        <f t="shared" si="47"/>
        <v>0</v>
      </c>
      <c r="N119" s="485"/>
      <c r="O119" s="476">
        <f t="shared" si="29"/>
        <v>0</v>
      </c>
      <c r="P119" s="476">
        <f t="shared" si="30"/>
        <v>0</v>
      </c>
    </row>
    <row r="120" spans="2:16" ht="12.5">
      <c r="B120" s="160" t="str">
        <f t="shared" si="27"/>
        <v/>
      </c>
      <c r="C120" s="470">
        <f>IF(D93="","-",+C119+1)</f>
        <v>2035</v>
      </c>
      <c r="D120" s="345">
        <f>IF(F119+SUM(E$99:E119)=D$92,F119,D$92-SUM(E$99:E119))</f>
        <v>864228</v>
      </c>
      <c r="E120" s="482">
        <f t="shared" si="42"/>
        <v>45412</v>
      </c>
      <c r="F120" s="483">
        <f t="shared" si="43"/>
        <v>818816</v>
      </c>
      <c r="G120" s="483">
        <f t="shared" si="44"/>
        <v>841522</v>
      </c>
      <c r="H120" s="484">
        <f t="shared" si="45"/>
        <v>141536.57814133487</v>
      </c>
      <c r="I120" s="540">
        <f t="shared" si="46"/>
        <v>141536.57814133487</v>
      </c>
      <c r="J120" s="476">
        <f t="shared" si="28"/>
        <v>0</v>
      </c>
      <c r="K120" s="476"/>
      <c r="L120" s="485"/>
      <c r="M120" s="476">
        <f t="shared" si="47"/>
        <v>0</v>
      </c>
      <c r="N120" s="485"/>
      <c r="O120" s="476">
        <f t="shared" si="29"/>
        <v>0</v>
      </c>
      <c r="P120" s="476">
        <f t="shared" si="30"/>
        <v>0</v>
      </c>
    </row>
    <row r="121" spans="2:16" ht="12.5">
      <c r="B121" s="160" t="str">
        <f t="shared" si="27"/>
        <v/>
      </c>
      <c r="C121" s="470">
        <f>IF(D93="","-",+C120+1)</f>
        <v>2036</v>
      </c>
      <c r="D121" s="345">
        <f>IF(F120+SUM(E$99:E120)=D$92,F120,D$92-SUM(E$99:E120))</f>
        <v>818816</v>
      </c>
      <c r="E121" s="482">
        <f t="shared" si="42"/>
        <v>45412</v>
      </c>
      <c r="F121" s="483">
        <f t="shared" si="43"/>
        <v>773404</v>
      </c>
      <c r="G121" s="483">
        <f t="shared" si="44"/>
        <v>796110</v>
      </c>
      <c r="H121" s="484">
        <f t="shared" si="45"/>
        <v>136349.2992079804</v>
      </c>
      <c r="I121" s="540">
        <f t="shared" si="46"/>
        <v>136349.2992079804</v>
      </c>
      <c r="J121" s="476">
        <f t="shared" si="28"/>
        <v>0</v>
      </c>
      <c r="K121" s="476"/>
      <c r="L121" s="485"/>
      <c r="M121" s="476">
        <f t="shared" si="47"/>
        <v>0</v>
      </c>
      <c r="N121" s="485"/>
      <c r="O121" s="476">
        <f t="shared" si="29"/>
        <v>0</v>
      </c>
      <c r="P121" s="476">
        <f t="shared" si="30"/>
        <v>0</v>
      </c>
    </row>
    <row r="122" spans="2:16" ht="12.5">
      <c r="B122" s="160" t="str">
        <f t="shared" si="27"/>
        <v/>
      </c>
      <c r="C122" s="470">
        <f>IF(D93="","-",+C121+1)</f>
        <v>2037</v>
      </c>
      <c r="D122" s="345">
        <f>IF(F121+SUM(E$99:E121)=D$92,F121,D$92-SUM(E$99:E121))</f>
        <v>773404</v>
      </c>
      <c r="E122" s="482">
        <f t="shared" si="42"/>
        <v>45412</v>
      </c>
      <c r="F122" s="483">
        <f t="shared" si="43"/>
        <v>727992</v>
      </c>
      <c r="G122" s="483">
        <f t="shared" si="44"/>
        <v>750698</v>
      </c>
      <c r="H122" s="484">
        <f t="shared" si="45"/>
        <v>131162.02027462597</v>
      </c>
      <c r="I122" s="540">
        <f t="shared" si="46"/>
        <v>131162.02027462597</v>
      </c>
      <c r="J122" s="476">
        <f t="shared" si="28"/>
        <v>0</v>
      </c>
      <c r="K122" s="476"/>
      <c r="L122" s="485"/>
      <c r="M122" s="476">
        <f t="shared" si="47"/>
        <v>0</v>
      </c>
      <c r="N122" s="485"/>
      <c r="O122" s="476">
        <f t="shared" si="29"/>
        <v>0</v>
      </c>
      <c r="P122" s="476">
        <f t="shared" si="30"/>
        <v>0</v>
      </c>
    </row>
    <row r="123" spans="2:16" ht="12.5">
      <c r="B123" s="160" t="str">
        <f t="shared" si="27"/>
        <v/>
      </c>
      <c r="C123" s="470">
        <f>IF(D93="","-",+C122+1)</f>
        <v>2038</v>
      </c>
      <c r="D123" s="345">
        <f>IF(F122+SUM(E$99:E122)=D$92,F122,D$92-SUM(E$99:E122))</f>
        <v>727992</v>
      </c>
      <c r="E123" s="482">
        <f t="shared" si="42"/>
        <v>45412</v>
      </c>
      <c r="F123" s="483">
        <f t="shared" si="43"/>
        <v>682580</v>
      </c>
      <c r="G123" s="483">
        <f t="shared" si="44"/>
        <v>705286</v>
      </c>
      <c r="H123" s="484">
        <f t="shared" si="45"/>
        <v>125974.74134127153</v>
      </c>
      <c r="I123" s="540">
        <f t="shared" si="46"/>
        <v>125974.74134127153</v>
      </c>
      <c r="J123" s="476">
        <f t="shared" si="28"/>
        <v>0</v>
      </c>
      <c r="K123" s="476"/>
      <c r="L123" s="485"/>
      <c r="M123" s="476">
        <f t="shared" si="47"/>
        <v>0</v>
      </c>
      <c r="N123" s="485"/>
      <c r="O123" s="476">
        <f t="shared" si="29"/>
        <v>0</v>
      </c>
      <c r="P123" s="476">
        <f t="shared" si="30"/>
        <v>0</v>
      </c>
    </row>
    <row r="124" spans="2:16" ht="12.5">
      <c r="B124" s="160" t="str">
        <f t="shared" si="27"/>
        <v/>
      </c>
      <c r="C124" s="470">
        <f>IF(D93="","-",+C123+1)</f>
        <v>2039</v>
      </c>
      <c r="D124" s="345">
        <f>IF(F123+SUM(E$99:E123)=D$92,F123,D$92-SUM(E$99:E123))</f>
        <v>682580</v>
      </c>
      <c r="E124" s="482">
        <f t="shared" si="42"/>
        <v>45412</v>
      </c>
      <c r="F124" s="483">
        <f t="shared" si="43"/>
        <v>637168</v>
      </c>
      <c r="G124" s="483">
        <f t="shared" si="44"/>
        <v>659874</v>
      </c>
      <c r="H124" s="484">
        <f t="shared" si="45"/>
        <v>120787.46240791708</v>
      </c>
      <c r="I124" s="540">
        <f t="shared" si="46"/>
        <v>120787.46240791708</v>
      </c>
      <c r="J124" s="476">
        <f t="shared" si="28"/>
        <v>0</v>
      </c>
      <c r="K124" s="476"/>
      <c r="L124" s="485"/>
      <c r="M124" s="476">
        <f t="shared" si="47"/>
        <v>0</v>
      </c>
      <c r="N124" s="485"/>
      <c r="O124" s="476">
        <f t="shared" si="29"/>
        <v>0</v>
      </c>
      <c r="P124" s="476">
        <f t="shared" si="30"/>
        <v>0</v>
      </c>
    </row>
    <row r="125" spans="2:16" ht="12.5">
      <c r="B125" s="160" t="str">
        <f t="shared" si="27"/>
        <v/>
      </c>
      <c r="C125" s="470">
        <f>IF(D93="","-",+C124+1)</f>
        <v>2040</v>
      </c>
      <c r="D125" s="345">
        <f>IF(F124+SUM(E$99:E124)=D$92,F124,D$92-SUM(E$99:E124))</f>
        <v>637168</v>
      </c>
      <c r="E125" s="482">
        <f t="shared" si="42"/>
        <v>45412</v>
      </c>
      <c r="F125" s="483">
        <f t="shared" si="43"/>
        <v>591756</v>
      </c>
      <c r="G125" s="483">
        <f t="shared" si="44"/>
        <v>614462</v>
      </c>
      <c r="H125" s="484">
        <f t="shared" si="45"/>
        <v>115600.18347456264</v>
      </c>
      <c r="I125" s="540">
        <f t="shared" si="46"/>
        <v>115600.18347456264</v>
      </c>
      <c r="J125" s="476">
        <f t="shared" si="28"/>
        <v>0</v>
      </c>
      <c r="K125" s="476"/>
      <c r="L125" s="485"/>
      <c r="M125" s="476">
        <f t="shared" si="47"/>
        <v>0</v>
      </c>
      <c r="N125" s="485"/>
      <c r="O125" s="476">
        <f t="shared" si="29"/>
        <v>0</v>
      </c>
      <c r="P125" s="476">
        <f t="shared" si="30"/>
        <v>0</v>
      </c>
    </row>
    <row r="126" spans="2:16" ht="12.5">
      <c r="B126" s="160" t="str">
        <f t="shared" si="27"/>
        <v/>
      </c>
      <c r="C126" s="470">
        <f>IF(D93="","-",+C125+1)</f>
        <v>2041</v>
      </c>
      <c r="D126" s="345">
        <f>IF(F125+SUM(E$99:E125)=D$92,F125,D$92-SUM(E$99:E125))</f>
        <v>591756</v>
      </c>
      <c r="E126" s="482">
        <f t="shared" si="42"/>
        <v>45412</v>
      </c>
      <c r="F126" s="483">
        <f t="shared" si="43"/>
        <v>546344</v>
      </c>
      <c r="G126" s="483">
        <f t="shared" si="44"/>
        <v>569050</v>
      </c>
      <c r="H126" s="484">
        <f t="shared" si="45"/>
        <v>110412.90454120819</v>
      </c>
      <c r="I126" s="540">
        <f t="shared" si="46"/>
        <v>110412.90454120819</v>
      </c>
      <c r="J126" s="476">
        <f t="shared" si="28"/>
        <v>0</v>
      </c>
      <c r="K126" s="476"/>
      <c r="L126" s="485"/>
      <c r="M126" s="476">
        <f t="shared" si="47"/>
        <v>0</v>
      </c>
      <c r="N126" s="485"/>
      <c r="O126" s="476">
        <f t="shared" si="29"/>
        <v>0</v>
      </c>
      <c r="P126" s="476">
        <f t="shared" si="30"/>
        <v>0</v>
      </c>
    </row>
    <row r="127" spans="2:16" ht="12.5">
      <c r="B127" s="160" t="str">
        <f t="shared" si="27"/>
        <v/>
      </c>
      <c r="C127" s="470">
        <f>IF(D93="","-",+C126+1)</f>
        <v>2042</v>
      </c>
      <c r="D127" s="345">
        <f>IF(F126+SUM(E$99:E126)=D$92,F126,D$92-SUM(E$99:E126))</f>
        <v>546344</v>
      </c>
      <c r="E127" s="482">
        <f t="shared" si="42"/>
        <v>45412</v>
      </c>
      <c r="F127" s="483">
        <f t="shared" si="43"/>
        <v>500932</v>
      </c>
      <c r="G127" s="483">
        <f t="shared" si="44"/>
        <v>523638</v>
      </c>
      <c r="H127" s="484">
        <f t="shared" si="45"/>
        <v>105225.62560785376</v>
      </c>
      <c r="I127" s="540">
        <f t="shared" si="46"/>
        <v>105225.62560785376</v>
      </c>
      <c r="J127" s="476">
        <f t="shared" si="28"/>
        <v>0</v>
      </c>
      <c r="K127" s="476"/>
      <c r="L127" s="485"/>
      <c r="M127" s="476">
        <f t="shared" si="47"/>
        <v>0</v>
      </c>
      <c r="N127" s="485"/>
      <c r="O127" s="476">
        <f t="shared" si="29"/>
        <v>0</v>
      </c>
      <c r="P127" s="476">
        <f t="shared" si="30"/>
        <v>0</v>
      </c>
    </row>
    <row r="128" spans="2:16" ht="12.5">
      <c r="B128" s="160" t="str">
        <f t="shared" si="27"/>
        <v/>
      </c>
      <c r="C128" s="470">
        <f>IF(D93="","-",+C127+1)</f>
        <v>2043</v>
      </c>
      <c r="D128" s="345">
        <f>IF(F127+SUM(E$99:E127)=D$92,F127,D$92-SUM(E$99:E127))</f>
        <v>500932</v>
      </c>
      <c r="E128" s="482">
        <f t="shared" si="42"/>
        <v>45412</v>
      </c>
      <c r="F128" s="483">
        <f t="shared" si="43"/>
        <v>455520</v>
      </c>
      <c r="G128" s="483">
        <f t="shared" si="44"/>
        <v>478226</v>
      </c>
      <c r="H128" s="484">
        <f t="shared" si="45"/>
        <v>100038.34667449931</v>
      </c>
      <c r="I128" s="540">
        <f t="shared" si="46"/>
        <v>100038.34667449931</v>
      </c>
      <c r="J128" s="476">
        <f t="shared" si="28"/>
        <v>0</v>
      </c>
      <c r="K128" s="476"/>
      <c r="L128" s="485"/>
      <c r="M128" s="476">
        <f t="shared" si="47"/>
        <v>0</v>
      </c>
      <c r="N128" s="485"/>
      <c r="O128" s="476">
        <f t="shared" si="29"/>
        <v>0</v>
      </c>
      <c r="P128" s="476">
        <f t="shared" si="30"/>
        <v>0</v>
      </c>
    </row>
    <row r="129" spans="2:16" ht="12.5">
      <c r="B129" s="160" t="str">
        <f t="shared" si="27"/>
        <v/>
      </c>
      <c r="C129" s="470">
        <f>IF(D93="","-",+C128+1)</f>
        <v>2044</v>
      </c>
      <c r="D129" s="345">
        <f>IF(F128+SUM(E$99:E128)=D$92,F128,D$92-SUM(E$99:E128))</f>
        <v>455520</v>
      </c>
      <c r="E129" s="482">
        <f t="shared" si="42"/>
        <v>45412</v>
      </c>
      <c r="F129" s="483">
        <f t="shared" si="43"/>
        <v>410108</v>
      </c>
      <c r="G129" s="483">
        <f t="shared" si="44"/>
        <v>432814</v>
      </c>
      <c r="H129" s="484">
        <f t="shared" si="45"/>
        <v>94851.067741144856</v>
      </c>
      <c r="I129" s="540">
        <f t="shared" si="46"/>
        <v>94851.067741144856</v>
      </c>
      <c r="J129" s="476">
        <f t="shared" si="28"/>
        <v>0</v>
      </c>
      <c r="K129" s="476"/>
      <c r="L129" s="485"/>
      <c r="M129" s="476">
        <f t="shared" si="47"/>
        <v>0</v>
      </c>
      <c r="N129" s="485"/>
      <c r="O129" s="476">
        <f t="shared" si="29"/>
        <v>0</v>
      </c>
      <c r="P129" s="476">
        <f t="shared" si="30"/>
        <v>0</v>
      </c>
    </row>
    <row r="130" spans="2:16" ht="12.5">
      <c r="B130" s="160" t="str">
        <f t="shared" si="27"/>
        <v/>
      </c>
      <c r="C130" s="470">
        <f>IF(D93="","-",+C129+1)</f>
        <v>2045</v>
      </c>
      <c r="D130" s="345">
        <f>IF(F129+SUM(E$99:E129)=D$92,F129,D$92-SUM(E$99:E129))</f>
        <v>410108</v>
      </c>
      <c r="E130" s="482">
        <f t="shared" si="42"/>
        <v>45412</v>
      </c>
      <c r="F130" s="483">
        <f t="shared" si="43"/>
        <v>364696</v>
      </c>
      <c r="G130" s="483">
        <f t="shared" si="44"/>
        <v>387402</v>
      </c>
      <c r="H130" s="484">
        <f t="shared" si="45"/>
        <v>89663.788807790406</v>
      </c>
      <c r="I130" s="540">
        <f t="shared" si="46"/>
        <v>89663.788807790406</v>
      </c>
      <c r="J130" s="476">
        <f t="shared" si="28"/>
        <v>0</v>
      </c>
      <c r="K130" s="476"/>
      <c r="L130" s="485"/>
      <c r="M130" s="476">
        <f t="shared" si="47"/>
        <v>0</v>
      </c>
      <c r="N130" s="485"/>
      <c r="O130" s="476">
        <f t="shared" si="29"/>
        <v>0</v>
      </c>
      <c r="P130" s="476">
        <f t="shared" si="30"/>
        <v>0</v>
      </c>
    </row>
    <row r="131" spans="2:16" ht="12.5">
      <c r="B131" s="160" t="str">
        <f t="shared" si="27"/>
        <v/>
      </c>
      <c r="C131" s="470">
        <f>IF(D93="","-",+C130+1)</f>
        <v>2046</v>
      </c>
      <c r="D131" s="345">
        <f>IF(F130+SUM(E$99:E130)=D$92,F130,D$92-SUM(E$99:E130))</f>
        <v>364696</v>
      </c>
      <c r="E131" s="482">
        <f t="shared" si="42"/>
        <v>45412</v>
      </c>
      <c r="F131" s="483">
        <f t="shared" si="43"/>
        <v>319284</v>
      </c>
      <c r="G131" s="483">
        <f t="shared" si="44"/>
        <v>341990</v>
      </c>
      <c r="H131" s="484">
        <f t="shared" si="45"/>
        <v>84476.509874435971</v>
      </c>
      <c r="I131" s="540">
        <f t="shared" si="46"/>
        <v>84476.509874435971</v>
      </c>
      <c r="J131" s="476">
        <f t="shared" si="28"/>
        <v>0</v>
      </c>
      <c r="K131" s="476"/>
      <c r="L131" s="485"/>
      <c r="M131" s="476">
        <f t="shared" ref="M131:M154" si="48">IF(L541&lt;&gt;0,+H541-L541,0)</f>
        <v>0</v>
      </c>
      <c r="N131" s="485"/>
      <c r="O131" s="476">
        <f t="shared" ref="O131:O154" si="49">IF(N541&lt;&gt;0,+I541-N541,0)</f>
        <v>0</v>
      </c>
      <c r="P131" s="476">
        <f t="shared" ref="P131:P154" si="50">+O541-M541</f>
        <v>0</v>
      </c>
    </row>
    <row r="132" spans="2:16" ht="12.5">
      <c r="B132" s="160" t="str">
        <f t="shared" si="27"/>
        <v/>
      </c>
      <c r="C132" s="470">
        <f>IF(D93="","-",+C131+1)</f>
        <v>2047</v>
      </c>
      <c r="D132" s="345">
        <f>IF(F131+SUM(E$99:E131)=D$92,F131,D$92-SUM(E$99:E131))</f>
        <v>319284</v>
      </c>
      <c r="E132" s="482">
        <f t="shared" si="42"/>
        <v>45412</v>
      </c>
      <c r="F132" s="483">
        <f t="shared" si="43"/>
        <v>273872</v>
      </c>
      <c r="G132" s="483">
        <f t="shared" si="44"/>
        <v>296578</v>
      </c>
      <c r="H132" s="484">
        <f t="shared" si="45"/>
        <v>79289.230941081536</v>
      </c>
      <c r="I132" s="540">
        <f t="shared" si="46"/>
        <v>79289.230941081536</v>
      </c>
      <c r="J132" s="476">
        <f t="shared" si="28"/>
        <v>0</v>
      </c>
      <c r="K132" s="476"/>
      <c r="L132" s="485"/>
      <c r="M132" s="476">
        <f t="shared" si="48"/>
        <v>0</v>
      </c>
      <c r="N132" s="485"/>
      <c r="O132" s="476">
        <f t="shared" si="49"/>
        <v>0</v>
      </c>
      <c r="P132" s="476">
        <f t="shared" si="50"/>
        <v>0</v>
      </c>
    </row>
    <row r="133" spans="2:16" ht="12.5">
      <c r="B133" s="160" t="str">
        <f t="shared" si="27"/>
        <v/>
      </c>
      <c r="C133" s="470">
        <f>IF(D93="","-",+C132+1)</f>
        <v>2048</v>
      </c>
      <c r="D133" s="345">
        <f>IF(F132+SUM(E$99:E132)=D$92,F132,D$92-SUM(E$99:E132))</f>
        <v>273872</v>
      </c>
      <c r="E133" s="482">
        <f t="shared" si="42"/>
        <v>45412</v>
      </c>
      <c r="F133" s="483">
        <f t="shared" si="43"/>
        <v>228460</v>
      </c>
      <c r="G133" s="483">
        <f t="shared" si="44"/>
        <v>251166</v>
      </c>
      <c r="H133" s="484">
        <f t="shared" si="45"/>
        <v>74101.952007727086</v>
      </c>
      <c r="I133" s="540">
        <f t="shared" si="46"/>
        <v>74101.952007727086</v>
      </c>
      <c r="J133" s="476">
        <f t="shared" si="28"/>
        <v>0</v>
      </c>
      <c r="K133" s="476"/>
      <c r="L133" s="485"/>
      <c r="M133" s="476">
        <f t="shared" si="48"/>
        <v>0</v>
      </c>
      <c r="N133" s="485"/>
      <c r="O133" s="476">
        <f t="shared" si="49"/>
        <v>0</v>
      </c>
      <c r="P133" s="476">
        <f t="shared" si="50"/>
        <v>0</v>
      </c>
    </row>
    <row r="134" spans="2:16" ht="12.5">
      <c r="B134" s="160" t="str">
        <f t="shared" si="27"/>
        <v/>
      </c>
      <c r="C134" s="470">
        <f>IF(D93="","-",+C133+1)</f>
        <v>2049</v>
      </c>
      <c r="D134" s="345">
        <f>IF(F133+SUM(E$99:E133)=D$92,F133,D$92-SUM(E$99:E133))</f>
        <v>228460</v>
      </c>
      <c r="E134" s="482">
        <f t="shared" si="42"/>
        <v>45412</v>
      </c>
      <c r="F134" s="483">
        <f t="shared" si="43"/>
        <v>183048</v>
      </c>
      <c r="G134" s="483">
        <f t="shared" si="44"/>
        <v>205754</v>
      </c>
      <c r="H134" s="484">
        <f t="shared" si="45"/>
        <v>68914.673074372637</v>
      </c>
      <c r="I134" s="540">
        <f t="shared" si="46"/>
        <v>68914.673074372637</v>
      </c>
      <c r="J134" s="476">
        <f t="shared" si="28"/>
        <v>0</v>
      </c>
      <c r="K134" s="476"/>
      <c r="L134" s="485"/>
      <c r="M134" s="476">
        <f t="shared" si="48"/>
        <v>0</v>
      </c>
      <c r="N134" s="485"/>
      <c r="O134" s="476">
        <f t="shared" si="49"/>
        <v>0</v>
      </c>
      <c r="P134" s="476">
        <f t="shared" si="50"/>
        <v>0</v>
      </c>
    </row>
    <row r="135" spans="2:16" ht="12.5">
      <c r="B135" s="160" t="str">
        <f t="shared" si="27"/>
        <v/>
      </c>
      <c r="C135" s="470">
        <f>IF(D93="","-",+C134+1)</f>
        <v>2050</v>
      </c>
      <c r="D135" s="345">
        <f>IF(F134+SUM(E$99:E134)=D$92,F134,D$92-SUM(E$99:E134))</f>
        <v>183048</v>
      </c>
      <c r="E135" s="482">
        <f t="shared" si="42"/>
        <v>45412</v>
      </c>
      <c r="F135" s="483">
        <f t="shared" si="43"/>
        <v>137636</v>
      </c>
      <c r="G135" s="483">
        <f t="shared" si="44"/>
        <v>160342</v>
      </c>
      <c r="H135" s="484">
        <f t="shared" si="45"/>
        <v>63727.394141018194</v>
      </c>
      <c r="I135" s="540">
        <f t="shared" si="46"/>
        <v>63727.394141018194</v>
      </c>
      <c r="J135" s="476">
        <f t="shared" si="28"/>
        <v>0</v>
      </c>
      <c r="K135" s="476"/>
      <c r="L135" s="485"/>
      <c r="M135" s="476">
        <f t="shared" si="48"/>
        <v>0</v>
      </c>
      <c r="N135" s="485"/>
      <c r="O135" s="476">
        <f t="shared" si="49"/>
        <v>0</v>
      </c>
      <c r="P135" s="476">
        <f t="shared" si="50"/>
        <v>0</v>
      </c>
    </row>
    <row r="136" spans="2:16" ht="12.5">
      <c r="B136" s="160" t="str">
        <f t="shared" si="27"/>
        <v/>
      </c>
      <c r="C136" s="470">
        <f>IF(D93="","-",+C135+1)</f>
        <v>2051</v>
      </c>
      <c r="D136" s="345">
        <f>IF(F135+SUM(E$99:E135)=D$92,F135,D$92-SUM(E$99:E135))</f>
        <v>137636</v>
      </c>
      <c r="E136" s="482">
        <f t="shared" si="42"/>
        <v>45412</v>
      </c>
      <c r="F136" s="483">
        <f t="shared" si="43"/>
        <v>92224</v>
      </c>
      <c r="G136" s="483">
        <f t="shared" si="44"/>
        <v>114930</v>
      </c>
      <c r="H136" s="484">
        <f t="shared" si="45"/>
        <v>58540.115207663752</v>
      </c>
      <c r="I136" s="540">
        <f t="shared" si="46"/>
        <v>58540.115207663752</v>
      </c>
      <c r="J136" s="476">
        <f t="shared" si="28"/>
        <v>0</v>
      </c>
      <c r="K136" s="476"/>
      <c r="L136" s="485"/>
      <c r="M136" s="476">
        <f t="shared" si="48"/>
        <v>0</v>
      </c>
      <c r="N136" s="485"/>
      <c r="O136" s="476">
        <f t="shared" si="49"/>
        <v>0</v>
      </c>
      <c r="P136" s="476">
        <f t="shared" si="50"/>
        <v>0</v>
      </c>
    </row>
    <row r="137" spans="2:16" ht="12.5">
      <c r="B137" s="160" t="str">
        <f t="shared" si="27"/>
        <v/>
      </c>
      <c r="C137" s="470">
        <f>IF(D93="","-",+C136+1)</f>
        <v>2052</v>
      </c>
      <c r="D137" s="345">
        <f>IF(F136+SUM(E$99:E136)=D$92,F136,D$92-SUM(E$99:E136))</f>
        <v>92224</v>
      </c>
      <c r="E137" s="482">
        <f t="shared" si="42"/>
        <v>45412</v>
      </c>
      <c r="F137" s="483">
        <f t="shared" si="43"/>
        <v>46812</v>
      </c>
      <c r="G137" s="483">
        <f t="shared" si="44"/>
        <v>69518</v>
      </c>
      <c r="H137" s="484">
        <f t="shared" si="45"/>
        <v>53352.836274309309</v>
      </c>
      <c r="I137" s="540">
        <f t="shared" si="46"/>
        <v>53352.836274309309</v>
      </c>
      <c r="J137" s="476">
        <f t="shared" si="28"/>
        <v>0</v>
      </c>
      <c r="K137" s="476"/>
      <c r="L137" s="485"/>
      <c r="M137" s="476">
        <f t="shared" si="48"/>
        <v>0</v>
      </c>
      <c r="N137" s="485"/>
      <c r="O137" s="476">
        <f t="shared" si="49"/>
        <v>0</v>
      </c>
      <c r="P137" s="476">
        <f t="shared" si="50"/>
        <v>0</v>
      </c>
    </row>
    <row r="138" spans="2:16" ht="12.5">
      <c r="B138" s="160" t="str">
        <f t="shared" si="27"/>
        <v/>
      </c>
      <c r="C138" s="470">
        <f>IF(D93="","-",+C137+1)</f>
        <v>2053</v>
      </c>
      <c r="D138" s="345">
        <f>IF(F137+SUM(E$99:E137)=D$92,F137,D$92-SUM(E$99:E137))</f>
        <v>46812</v>
      </c>
      <c r="E138" s="482">
        <f t="shared" si="42"/>
        <v>45412</v>
      </c>
      <c r="F138" s="483">
        <f t="shared" si="43"/>
        <v>1400</v>
      </c>
      <c r="G138" s="483">
        <f t="shared" si="44"/>
        <v>24106</v>
      </c>
      <c r="H138" s="484">
        <f t="shared" si="45"/>
        <v>48165.55734095486</v>
      </c>
      <c r="I138" s="540">
        <f t="shared" si="46"/>
        <v>48165.55734095486</v>
      </c>
      <c r="J138" s="476">
        <f t="shared" si="28"/>
        <v>0</v>
      </c>
      <c r="K138" s="476"/>
      <c r="L138" s="485"/>
      <c r="M138" s="476">
        <f t="shared" si="48"/>
        <v>0</v>
      </c>
      <c r="N138" s="485"/>
      <c r="O138" s="476">
        <f t="shared" si="49"/>
        <v>0</v>
      </c>
      <c r="P138" s="476">
        <f t="shared" si="50"/>
        <v>0</v>
      </c>
    </row>
    <row r="139" spans="2:16" ht="12.5">
      <c r="B139" s="160" t="str">
        <f t="shared" si="27"/>
        <v/>
      </c>
      <c r="C139" s="470">
        <f>IF(D93="","-",+C138+1)</f>
        <v>2054</v>
      </c>
      <c r="D139" s="345">
        <f>IF(F138+SUM(E$99:E138)=D$92,F138,D$92-SUM(E$99:E138))</f>
        <v>1400</v>
      </c>
      <c r="E139" s="482">
        <f t="shared" si="42"/>
        <v>1400</v>
      </c>
      <c r="F139" s="483">
        <f t="shared" si="43"/>
        <v>0</v>
      </c>
      <c r="G139" s="483">
        <f t="shared" si="44"/>
        <v>700</v>
      </c>
      <c r="H139" s="484">
        <f t="shared" si="45"/>
        <v>1479.9589371388204</v>
      </c>
      <c r="I139" s="540">
        <f t="shared" si="46"/>
        <v>1479.9589371388204</v>
      </c>
      <c r="J139" s="476">
        <f t="shared" si="28"/>
        <v>0</v>
      </c>
      <c r="K139" s="476"/>
      <c r="L139" s="485"/>
      <c r="M139" s="476">
        <f t="shared" si="48"/>
        <v>0</v>
      </c>
      <c r="N139" s="485"/>
      <c r="O139" s="476">
        <f t="shared" si="49"/>
        <v>0</v>
      </c>
      <c r="P139" s="476">
        <f t="shared" si="50"/>
        <v>0</v>
      </c>
    </row>
    <row r="140" spans="2:16" ht="12.5">
      <c r="B140" s="160" t="str">
        <f t="shared" si="27"/>
        <v/>
      </c>
      <c r="C140" s="470">
        <f>IF(D93="","-",+C139+1)</f>
        <v>2055</v>
      </c>
      <c r="D140" s="345">
        <f>IF(F139+SUM(E$99:E139)=D$92,F139,D$92-SUM(E$99:E139))</f>
        <v>0</v>
      </c>
      <c r="E140" s="482">
        <f t="shared" si="42"/>
        <v>0</v>
      </c>
      <c r="F140" s="483">
        <f t="shared" si="43"/>
        <v>0</v>
      </c>
      <c r="G140" s="483">
        <f t="shared" si="44"/>
        <v>0</v>
      </c>
      <c r="H140" s="484">
        <f t="shared" si="45"/>
        <v>0</v>
      </c>
      <c r="I140" s="540">
        <f t="shared" si="46"/>
        <v>0</v>
      </c>
      <c r="J140" s="476">
        <f t="shared" si="28"/>
        <v>0</v>
      </c>
      <c r="K140" s="476"/>
      <c r="L140" s="485"/>
      <c r="M140" s="476">
        <f t="shared" si="48"/>
        <v>0</v>
      </c>
      <c r="N140" s="485"/>
      <c r="O140" s="476">
        <f t="shared" si="49"/>
        <v>0</v>
      </c>
      <c r="P140" s="476">
        <f t="shared" si="50"/>
        <v>0</v>
      </c>
    </row>
    <row r="141" spans="2:16" ht="12.5">
      <c r="B141" s="160" t="str">
        <f t="shared" si="27"/>
        <v/>
      </c>
      <c r="C141" s="470">
        <f>IF(D93="","-",+C140+1)</f>
        <v>2056</v>
      </c>
      <c r="D141" s="345">
        <f>IF(F140+SUM(E$99:E140)=D$92,F140,D$92-SUM(E$99:E140))</f>
        <v>0</v>
      </c>
      <c r="E141" s="482">
        <f t="shared" si="42"/>
        <v>0</v>
      </c>
      <c r="F141" s="483">
        <f t="shared" si="43"/>
        <v>0</v>
      </c>
      <c r="G141" s="483">
        <f t="shared" si="44"/>
        <v>0</v>
      </c>
      <c r="H141" s="484">
        <f t="shared" si="45"/>
        <v>0</v>
      </c>
      <c r="I141" s="540">
        <f t="shared" si="46"/>
        <v>0</v>
      </c>
      <c r="J141" s="476">
        <f t="shared" si="28"/>
        <v>0</v>
      </c>
      <c r="K141" s="476"/>
      <c r="L141" s="485"/>
      <c r="M141" s="476">
        <f t="shared" si="48"/>
        <v>0</v>
      </c>
      <c r="N141" s="485"/>
      <c r="O141" s="476">
        <f t="shared" si="49"/>
        <v>0</v>
      </c>
      <c r="P141" s="476">
        <f t="shared" si="50"/>
        <v>0</v>
      </c>
    </row>
    <row r="142" spans="2:16" ht="12.5">
      <c r="B142" s="160" t="str">
        <f t="shared" si="27"/>
        <v/>
      </c>
      <c r="C142" s="470">
        <f>IF(D93="","-",+C141+1)</f>
        <v>2057</v>
      </c>
      <c r="D142" s="345">
        <f>IF(F141+SUM(E$99:E141)=D$92,F141,D$92-SUM(E$99:E141))</f>
        <v>0</v>
      </c>
      <c r="E142" s="482">
        <f t="shared" si="42"/>
        <v>0</v>
      </c>
      <c r="F142" s="483">
        <f t="shared" si="43"/>
        <v>0</v>
      </c>
      <c r="G142" s="483">
        <f t="shared" si="44"/>
        <v>0</v>
      </c>
      <c r="H142" s="484">
        <f t="shared" si="45"/>
        <v>0</v>
      </c>
      <c r="I142" s="540">
        <f t="shared" si="46"/>
        <v>0</v>
      </c>
      <c r="J142" s="476">
        <f t="shared" si="28"/>
        <v>0</v>
      </c>
      <c r="K142" s="476"/>
      <c r="L142" s="485"/>
      <c r="M142" s="476">
        <f t="shared" si="48"/>
        <v>0</v>
      </c>
      <c r="N142" s="485"/>
      <c r="O142" s="476">
        <f t="shared" si="49"/>
        <v>0</v>
      </c>
      <c r="P142" s="476">
        <f t="shared" si="50"/>
        <v>0</v>
      </c>
    </row>
    <row r="143" spans="2:16" ht="12.5">
      <c r="B143" s="160" t="str">
        <f t="shared" si="27"/>
        <v/>
      </c>
      <c r="C143" s="470">
        <f>IF(D93="","-",+C142+1)</f>
        <v>2058</v>
      </c>
      <c r="D143" s="345">
        <f>IF(F142+SUM(E$99:E142)=D$92,F142,D$92-SUM(E$99:E142))</f>
        <v>0</v>
      </c>
      <c r="E143" s="482">
        <f t="shared" si="42"/>
        <v>0</v>
      </c>
      <c r="F143" s="483">
        <f t="shared" si="43"/>
        <v>0</v>
      </c>
      <c r="G143" s="483">
        <f t="shared" si="44"/>
        <v>0</v>
      </c>
      <c r="H143" s="484">
        <f t="shared" si="45"/>
        <v>0</v>
      </c>
      <c r="I143" s="540">
        <f t="shared" si="46"/>
        <v>0</v>
      </c>
      <c r="J143" s="476">
        <f t="shared" si="28"/>
        <v>0</v>
      </c>
      <c r="K143" s="476"/>
      <c r="L143" s="485"/>
      <c r="M143" s="476">
        <f t="shared" si="48"/>
        <v>0</v>
      </c>
      <c r="N143" s="485"/>
      <c r="O143" s="476">
        <f t="shared" si="49"/>
        <v>0</v>
      </c>
      <c r="P143" s="476">
        <f t="shared" si="50"/>
        <v>0</v>
      </c>
    </row>
    <row r="144" spans="2:16" ht="12.5">
      <c r="B144" s="160" t="str">
        <f t="shared" si="27"/>
        <v/>
      </c>
      <c r="C144" s="470">
        <f>IF(D93="","-",+C143+1)</f>
        <v>2059</v>
      </c>
      <c r="D144" s="345">
        <f>IF(F143+SUM(E$99:E143)=D$92,F143,D$92-SUM(E$99:E143))</f>
        <v>0</v>
      </c>
      <c r="E144" s="482">
        <f t="shared" si="42"/>
        <v>0</v>
      </c>
      <c r="F144" s="483">
        <f t="shared" si="43"/>
        <v>0</v>
      </c>
      <c r="G144" s="483">
        <f t="shared" si="44"/>
        <v>0</v>
      </c>
      <c r="H144" s="484">
        <f t="shared" si="45"/>
        <v>0</v>
      </c>
      <c r="I144" s="540">
        <f t="shared" si="46"/>
        <v>0</v>
      </c>
      <c r="J144" s="476">
        <f t="shared" si="28"/>
        <v>0</v>
      </c>
      <c r="K144" s="476"/>
      <c r="L144" s="485"/>
      <c r="M144" s="476">
        <f t="shared" si="48"/>
        <v>0</v>
      </c>
      <c r="N144" s="485"/>
      <c r="O144" s="476">
        <f t="shared" si="49"/>
        <v>0</v>
      </c>
      <c r="P144" s="476">
        <f t="shared" si="50"/>
        <v>0</v>
      </c>
    </row>
    <row r="145" spans="2:16" ht="12.5">
      <c r="B145" s="160" t="str">
        <f t="shared" si="27"/>
        <v/>
      </c>
      <c r="C145" s="470">
        <f>IF(D93="","-",+C144+1)</f>
        <v>2060</v>
      </c>
      <c r="D145" s="345">
        <f>IF(F144+SUM(E$99:E144)=D$92,F144,D$92-SUM(E$99:E144))</f>
        <v>0</v>
      </c>
      <c r="E145" s="482">
        <f t="shared" si="42"/>
        <v>0</v>
      </c>
      <c r="F145" s="483">
        <f t="shared" si="43"/>
        <v>0</v>
      </c>
      <c r="G145" s="483">
        <f t="shared" si="44"/>
        <v>0</v>
      </c>
      <c r="H145" s="484">
        <f t="shared" si="45"/>
        <v>0</v>
      </c>
      <c r="I145" s="540">
        <f t="shared" si="46"/>
        <v>0</v>
      </c>
      <c r="J145" s="476">
        <f t="shared" si="28"/>
        <v>0</v>
      </c>
      <c r="K145" s="476"/>
      <c r="L145" s="485"/>
      <c r="M145" s="476">
        <f t="shared" si="48"/>
        <v>0</v>
      </c>
      <c r="N145" s="485"/>
      <c r="O145" s="476">
        <f t="shared" si="49"/>
        <v>0</v>
      </c>
      <c r="P145" s="476">
        <f t="shared" si="50"/>
        <v>0</v>
      </c>
    </row>
    <row r="146" spans="2:16" ht="12.5">
      <c r="B146" s="160" t="str">
        <f t="shared" si="27"/>
        <v/>
      </c>
      <c r="C146" s="470">
        <f>IF(D93="","-",+C145+1)</f>
        <v>2061</v>
      </c>
      <c r="D146" s="345">
        <f>IF(F145+SUM(E$99:E145)=D$92,F145,D$92-SUM(E$99:E145))</f>
        <v>0</v>
      </c>
      <c r="E146" s="482">
        <f t="shared" si="42"/>
        <v>0</v>
      </c>
      <c r="F146" s="483">
        <f t="shared" si="43"/>
        <v>0</v>
      </c>
      <c r="G146" s="483">
        <f t="shared" si="44"/>
        <v>0</v>
      </c>
      <c r="H146" s="484">
        <f t="shared" si="45"/>
        <v>0</v>
      </c>
      <c r="I146" s="540">
        <f t="shared" si="46"/>
        <v>0</v>
      </c>
      <c r="J146" s="476">
        <f t="shared" si="28"/>
        <v>0</v>
      </c>
      <c r="K146" s="476"/>
      <c r="L146" s="485"/>
      <c r="M146" s="476">
        <f t="shared" si="48"/>
        <v>0</v>
      </c>
      <c r="N146" s="485"/>
      <c r="O146" s="476">
        <f t="shared" si="49"/>
        <v>0</v>
      </c>
      <c r="P146" s="476">
        <f t="shared" si="50"/>
        <v>0</v>
      </c>
    </row>
    <row r="147" spans="2:16" ht="12.5">
      <c r="B147" s="160" t="str">
        <f t="shared" si="27"/>
        <v/>
      </c>
      <c r="C147" s="470">
        <f>IF(D93="","-",+C146+1)</f>
        <v>2062</v>
      </c>
      <c r="D147" s="345">
        <f>IF(F146+SUM(E$99:E146)=D$92,F146,D$92-SUM(E$99:E146))</f>
        <v>0</v>
      </c>
      <c r="E147" s="482">
        <f t="shared" si="42"/>
        <v>0</v>
      </c>
      <c r="F147" s="483">
        <f t="shared" si="43"/>
        <v>0</v>
      </c>
      <c r="G147" s="483">
        <f t="shared" si="44"/>
        <v>0</v>
      </c>
      <c r="H147" s="484">
        <f t="shared" si="45"/>
        <v>0</v>
      </c>
      <c r="I147" s="540">
        <f t="shared" si="46"/>
        <v>0</v>
      </c>
      <c r="J147" s="476">
        <f t="shared" si="28"/>
        <v>0</v>
      </c>
      <c r="K147" s="476"/>
      <c r="L147" s="485"/>
      <c r="M147" s="476">
        <f t="shared" si="48"/>
        <v>0</v>
      </c>
      <c r="N147" s="485"/>
      <c r="O147" s="476">
        <f t="shared" si="49"/>
        <v>0</v>
      </c>
      <c r="P147" s="476">
        <f t="shared" si="50"/>
        <v>0</v>
      </c>
    </row>
    <row r="148" spans="2:16" ht="12.5">
      <c r="B148" s="160" t="str">
        <f t="shared" si="27"/>
        <v/>
      </c>
      <c r="C148" s="470">
        <f>IF(D93="","-",+C147+1)</f>
        <v>2063</v>
      </c>
      <c r="D148" s="345">
        <f>IF(F147+SUM(E$99:E147)=D$92,F147,D$92-SUM(E$99:E147))</f>
        <v>0</v>
      </c>
      <c r="E148" s="482">
        <f t="shared" si="42"/>
        <v>0</v>
      </c>
      <c r="F148" s="483">
        <f t="shared" si="43"/>
        <v>0</v>
      </c>
      <c r="G148" s="483">
        <f t="shared" si="44"/>
        <v>0</v>
      </c>
      <c r="H148" s="484">
        <f t="shared" si="45"/>
        <v>0</v>
      </c>
      <c r="I148" s="540">
        <f t="shared" si="46"/>
        <v>0</v>
      </c>
      <c r="J148" s="476">
        <f t="shared" si="28"/>
        <v>0</v>
      </c>
      <c r="K148" s="476"/>
      <c r="L148" s="485"/>
      <c r="M148" s="476">
        <f t="shared" si="48"/>
        <v>0</v>
      </c>
      <c r="N148" s="485"/>
      <c r="O148" s="476">
        <f t="shared" si="49"/>
        <v>0</v>
      </c>
      <c r="P148" s="476">
        <f t="shared" si="50"/>
        <v>0</v>
      </c>
    </row>
    <row r="149" spans="2:16" ht="12.5">
      <c r="B149" s="160" t="str">
        <f t="shared" si="27"/>
        <v/>
      </c>
      <c r="C149" s="470">
        <f>IF(D93="","-",+C148+1)</f>
        <v>2064</v>
      </c>
      <c r="D149" s="345">
        <f>IF(F148+SUM(E$99:E148)=D$92,F148,D$92-SUM(E$99:E148))</f>
        <v>0</v>
      </c>
      <c r="E149" s="482">
        <f t="shared" si="42"/>
        <v>0</v>
      </c>
      <c r="F149" s="483">
        <f t="shared" si="43"/>
        <v>0</v>
      </c>
      <c r="G149" s="483">
        <f t="shared" si="44"/>
        <v>0</v>
      </c>
      <c r="H149" s="484">
        <f t="shared" si="45"/>
        <v>0</v>
      </c>
      <c r="I149" s="540">
        <f t="shared" si="46"/>
        <v>0</v>
      </c>
      <c r="J149" s="476">
        <f t="shared" si="28"/>
        <v>0</v>
      </c>
      <c r="K149" s="476"/>
      <c r="L149" s="485"/>
      <c r="M149" s="476">
        <f t="shared" si="48"/>
        <v>0</v>
      </c>
      <c r="N149" s="485"/>
      <c r="O149" s="476">
        <f t="shared" si="49"/>
        <v>0</v>
      </c>
      <c r="P149" s="476">
        <f t="shared" si="50"/>
        <v>0</v>
      </c>
    </row>
    <row r="150" spans="2:16" ht="12.5">
      <c r="B150" s="160" t="str">
        <f t="shared" si="27"/>
        <v/>
      </c>
      <c r="C150" s="470">
        <f>IF(D93="","-",+C149+1)</f>
        <v>2065</v>
      </c>
      <c r="D150" s="345">
        <f>IF(F149+SUM(E$99:E149)=D$92,F149,D$92-SUM(E$99:E149))</f>
        <v>0</v>
      </c>
      <c r="E150" s="482">
        <f t="shared" si="42"/>
        <v>0</v>
      </c>
      <c r="F150" s="483">
        <f t="shared" si="43"/>
        <v>0</v>
      </c>
      <c r="G150" s="483">
        <f t="shared" si="44"/>
        <v>0</v>
      </c>
      <c r="H150" s="484">
        <f t="shared" si="45"/>
        <v>0</v>
      </c>
      <c r="I150" s="540">
        <f t="shared" si="46"/>
        <v>0</v>
      </c>
      <c r="J150" s="476">
        <f t="shared" si="28"/>
        <v>0</v>
      </c>
      <c r="K150" s="476"/>
      <c r="L150" s="485"/>
      <c r="M150" s="476">
        <f t="shared" si="48"/>
        <v>0</v>
      </c>
      <c r="N150" s="485"/>
      <c r="O150" s="476">
        <f t="shared" si="49"/>
        <v>0</v>
      </c>
      <c r="P150" s="476">
        <f t="shared" si="50"/>
        <v>0</v>
      </c>
    </row>
    <row r="151" spans="2:16" ht="12.5">
      <c r="B151" s="160" t="str">
        <f t="shared" si="27"/>
        <v/>
      </c>
      <c r="C151" s="470">
        <f>IF(D93="","-",+C150+1)</f>
        <v>2066</v>
      </c>
      <c r="D151" s="345">
        <f>IF(F150+SUM(E$99:E150)=D$92,F150,D$92-SUM(E$99:E150))</f>
        <v>0</v>
      </c>
      <c r="E151" s="482">
        <f t="shared" si="42"/>
        <v>0</v>
      </c>
      <c r="F151" s="483">
        <f t="shared" si="43"/>
        <v>0</v>
      </c>
      <c r="G151" s="483">
        <f t="shared" si="44"/>
        <v>0</v>
      </c>
      <c r="H151" s="484">
        <f t="shared" si="45"/>
        <v>0</v>
      </c>
      <c r="I151" s="540">
        <f t="shared" si="46"/>
        <v>0</v>
      </c>
      <c r="J151" s="476">
        <f t="shared" si="28"/>
        <v>0</v>
      </c>
      <c r="K151" s="476"/>
      <c r="L151" s="485"/>
      <c r="M151" s="476">
        <f t="shared" si="48"/>
        <v>0</v>
      </c>
      <c r="N151" s="485"/>
      <c r="O151" s="476">
        <f t="shared" si="49"/>
        <v>0</v>
      </c>
      <c r="P151" s="476">
        <f t="shared" si="50"/>
        <v>0</v>
      </c>
    </row>
    <row r="152" spans="2:16" ht="12.5">
      <c r="B152" s="160" t="str">
        <f t="shared" si="27"/>
        <v/>
      </c>
      <c r="C152" s="470">
        <f>IF(D93="","-",+C151+1)</f>
        <v>2067</v>
      </c>
      <c r="D152" s="345">
        <f>IF(F151+SUM(E$99:E151)=D$92,F151,D$92-SUM(E$99:E151))</f>
        <v>0</v>
      </c>
      <c r="E152" s="482">
        <f t="shared" si="42"/>
        <v>0</v>
      </c>
      <c r="F152" s="483">
        <f t="shared" si="43"/>
        <v>0</v>
      </c>
      <c r="G152" s="483">
        <f t="shared" si="44"/>
        <v>0</v>
      </c>
      <c r="H152" s="484">
        <f t="shared" si="45"/>
        <v>0</v>
      </c>
      <c r="I152" s="540">
        <f t="shared" si="46"/>
        <v>0</v>
      </c>
      <c r="J152" s="476">
        <f t="shared" si="28"/>
        <v>0</v>
      </c>
      <c r="K152" s="476"/>
      <c r="L152" s="485"/>
      <c r="M152" s="476">
        <f t="shared" si="48"/>
        <v>0</v>
      </c>
      <c r="N152" s="485"/>
      <c r="O152" s="476">
        <f t="shared" si="49"/>
        <v>0</v>
      </c>
      <c r="P152" s="476">
        <f t="shared" si="50"/>
        <v>0</v>
      </c>
    </row>
    <row r="153" spans="2:16" ht="12.5">
      <c r="B153" s="160" t="str">
        <f t="shared" si="27"/>
        <v/>
      </c>
      <c r="C153" s="470">
        <f>IF(D93="","-",+C152+1)</f>
        <v>2068</v>
      </c>
      <c r="D153" s="345">
        <f>IF(F152+SUM(E$99:E152)=D$92,F152,D$92-SUM(E$99:E152))</f>
        <v>0</v>
      </c>
      <c r="E153" s="482">
        <f t="shared" si="42"/>
        <v>0</v>
      </c>
      <c r="F153" s="483">
        <f t="shared" si="43"/>
        <v>0</v>
      </c>
      <c r="G153" s="483">
        <f t="shared" si="44"/>
        <v>0</v>
      </c>
      <c r="H153" s="484">
        <f t="shared" si="45"/>
        <v>0</v>
      </c>
      <c r="I153" s="540">
        <f t="shared" si="46"/>
        <v>0</v>
      </c>
      <c r="J153" s="476">
        <f t="shared" si="28"/>
        <v>0</v>
      </c>
      <c r="K153" s="476"/>
      <c r="L153" s="485"/>
      <c r="M153" s="476">
        <f t="shared" si="48"/>
        <v>0</v>
      </c>
      <c r="N153" s="485"/>
      <c r="O153" s="476">
        <f t="shared" si="49"/>
        <v>0</v>
      </c>
      <c r="P153" s="476">
        <f t="shared" si="50"/>
        <v>0</v>
      </c>
    </row>
    <row r="154" spans="2:16" ht="13" thickBot="1">
      <c r="B154" s="160" t="str">
        <f t="shared" si="27"/>
        <v/>
      </c>
      <c r="C154" s="487">
        <f>IF(D93="","-",+C153+1)</f>
        <v>2069</v>
      </c>
      <c r="D154" s="574">
        <f>IF(F153+SUM(E$99:E153)=D$92,F153,D$92-SUM(E$99:E153))</f>
        <v>0</v>
      </c>
      <c r="E154" s="489">
        <f t="shared" si="42"/>
        <v>0</v>
      </c>
      <c r="F154" s="488">
        <f t="shared" si="43"/>
        <v>0</v>
      </c>
      <c r="G154" s="488">
        <f t="shared" si="44"/>
        <v>0</v>
      </c>
      <c r="H154" s="490">
        <f t="shared" ref="H154" si="51">+J$94*G154+E154</f>
        <v>0</v>
      </c>
      <c r="I154" s="543">
        <f t="shared" ref="I154" si="52">+J$95*G154+E154</f>
        <v>0</v>
      </c>
      <c r="J154" s="493">
        <f t="shared" si="28"/>
        <v>0</v>
      </c>
      <c r="K154" s="476"/>
      <c r="L154" s="492"/>
      <c r="M154" s="493">
        <f t="shared" si="48"/>
        <v>0</v>
      </c>
      <c r="N154" s="492"/>
      <c r="O154" s="493">
        <f t="shared" si="49"/>
        <v>0</v>
      </c>
      <c r="P154" s="493">
        <f t="shared" si="50"/>
        <v>0</v>
      </c>
    </row>
    <row r="155" spans="2:16" ht="12.5">
      <c r="C155" s="345" t="s">
        <v>77</v>
      </c>
      <c r="D155" s="346"/>
      <c r="E155" s="346">
        <f>SUM(E99:E154)</f>
        <v>1725647</v>
      </c>
      <c r="F155" s="346"/>
      <c r="G155" s="346"/>
      <c r="H155" s="346">
        <f>SUM(H99:H154)</f>
        <v>5698914.4151375825</v>
      </c>
      <c r="I155" s="346">
        <f>SUM(I99:I154)</f>
        <v>5698914.4151375825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8"/>
  <dimension ref="A1:P162"/>
  <sheetViews>
    <sheetView topLeftCell="A66" zoomScaleNormal="100" zoomScaleSheetLayoutView="78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19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170622.90008256794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170622.90008256794</v>
      </c>
      <c r="O6" s="231"/>
      <c r="P6" s="231"/>
    </row>
    <row r="7" spans="1:16" ht="13.5" thickBot="1">
      <c r="C7" s="429" t="s">
        <v>46</v>
      </c>
      <c r="D7" s="597" t="s">
        <v>276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291</v>
      </c>
      <c r="E9" s="575" t="s">
        <v>292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1338977.9100000004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3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34332.766923076932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2017</v>
      </c>
      <c r="D17" s="582">
        <v>0</v>
      </c>
      <c r="E17" s="605">
        <v>21831.16304347826</v>
      </c>
      <c r="F17" s="582">
        <v>1317146.8369565217</v>
      </c>
      <c r="G17" s="605">
        <v>105641.6474528401</v>
      </c>
      <c r="H17" s="585">
        <v>105641.6474528401</v>
      </c>
      <c r="I17" s="473">
        <f t="shared" ref="I17:I72" si="0">H17-G17</f>
        <v>0</v>
      </c>
      <c r="J17" s="473"/>
      <c r="K17" s="475">
        <f t="shared" ref="K17:K22" si="1">+G17</f>
        <v>105641.6474528401</v>
      </c>
      <c r="L17" s="475">
        <f t="shared" ref="L17:L72" si="2">IF(K17&lt;&gt;0,+G17-K17,0)</f>
        <v>0</v>
      </c>
      <c r="M17" s="475">
        <f t="shared" ref="M17:M22" si="3">+H17</f>
        <v>105641.6474528401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2018</v>
      </c>
      <c r="D18" s="582">
        <v>1317146.8369565217</v>
      </c>
      <c r="E18" s="583">
        <v>29755.066666666666</v>
      </c>
      <c r="F18" s="582">
        <v>1287391.7702898551</v>
      </c>
      <c r="G18" s="583">
        <v>185713.45898482588</v>
      </c>
      <c r="H18" s="585">
        <v>185713.45898482588</v>
      </c>
      <c r="I18" s="473">
        <f t="shared" si="0"/>
        <v>0</v>
      </c>
      <c r="J18" s="473"/>
      <c r="K18" s="476">
        <f t="shared" si="1"/>
        <v>185713.45898482588</v>
      </c>
      <c r="L18" s="476">
        <f t="shared" si="2"/>
        <v>0</v>
      </c>
      <c r="M18" s="476">
        <f t="shared" si="3"/>
        <v>185713.45898482588</v>
      </c>
      <c r="N18" s="476">
        <f t="shared" si="4"/>
        <v>0</v>
      </c>
      <c r="O18" s="476">
        <f t="shared" si="5"/>
        <v>0</v>
      </c>
      <c r="P18" s="241"/>
    </row>
    <row r="19" spans="2:16" ht="12.5">
      <c r="B19" s="160" t="str">
        <f>IF(D19=F18,"","IU")</f>
        <v/>
      </c>
      <c r="C19" s="470">
        <f>IF(D11="","-",+C18+1)</f>
        <v>2019</v>
      </c>
      <c r="D19" s="582">
        <v>1287391.7702898551</v>
      </c>
      <c r="E19" s="583">
        <v>33474.449999999997</v>
      </c>
      <c r="F19" s="582">
        <v>1253917.3202898551</v>
      </c>
      <c r="G19" s="583">
        <v>175351.45606998727</v>
      </c>
      <c r="H19" s="585">
        <v>175351.45606998727</v>
      </c>
      <c r="I19" s="473">
        <f t="shared" si="0"/>
        <v>0</v>
      </c>
      <c r="J19" s="473"/>
      <c r="K19" s="476">
        <f t="shared" si="1"/>
        <v>175351.45606998727</v>
      </c>
      <c r="L19" s="476">
        <f t="shared" ref="L19" si="6">IF(K19&lt;&gt;0,+G19-K19,0)</f>
        <v>0</v>
      </c>
      <c r="M19" s="476">
        <f t="shared" si="3"/>
        <v>175351.45606998727</v>
      </c>
      <c r="N19" s="476">
        <f t="shared" si="4"/>
        <v>0</v>
      </c>
      <c r="O19" s="476">
        <f t="shared" si="5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2020</v>
      </c>
      <c r="D20" s="582">
        <v>1257636.7036231884</v>
      </c>
      <c r="E20" s="583">
        <v>31880.428571428572</v>
      </c>
      <c r="F20" s="582">
        <v>1225756.2750517598</v>
      </c>
      <c r="G20" s="583">
        <v>165989.58089219453</v>
      </c>
      <c r="H20" s="585">
        <v>165989.58089219453</v>
      </c>
      <c r="I20" s="473">
        <f t="shared" si="0"/>
        <v>0</v>
      </c>
      <c r="J20" s="473"/>
      <c r="K20" s="476">
        <f t="shared" si="1"/>
        <v>165989.58089219453</v>
      </c>
      <c r="L20" s="476">
        <f t="shared" ref="L20" si="8">IF(K20&lt;&gt;0,+G20-K20,0)</f>
        <v>0</v>
      </c>
      <c r="M20" s="476">
        <f t="shared" si="3"/>
        <v>165989.58089219453</v>
      </c>
      <c r="N20" s="476">
        <f t="shared" si="4"/>
        <v>0</v>
      </c>
      <c r="O20" s="476">
        <f t="shared" si="5"/>
        <v>0</v>
      </c>
      <c r="P20" s="241"/>
    </row>
    <row r="21" spans="2:16" ht="12.5">
      <c r="B21" s="160" t="str">
        <f t="shared" si="7"/>
        <v>IU</v>
      </c>
      <c r="C21" s="470">
        <f>IF(D11="","-",+C20+1)</f>
        <v>2021</v>
      </c>
      <c r="D21" s="582">
        <v>1222036.8917184265</v>
      </c>
      <c r="E21" s="583">
        <v>31139.023255813954</v>
      </c>
      <c r="F21" s="582">
        <v>1190897.8684626126</v>
      </c>
      <c r="G21" s="583">
        <v>161222.32913848371</v>
      </c>
      <c r="H21" s="585">
        <v>161222.32913848371</v>
      </c>
      <c r="I21" s="473">
        <f t="shared" si="0"/>
        <v>0</v>
      </c>
      <c r="J21" s="473"/>
      <c r="K21" s="476">
        <f t="shared" si="1"/>
        <v>161222.32913848371</v>
      </c>
      <c r="L21" s="476">
        <f t="shared" ref="L21" si="9">IF(K21&lt;&gt;0,+G21-K21,0)</f>
        <v>0</v>
      </c>
      <c r="M21" s="476">
        <f t="shared" si="3"/>
        <v>161222.32913848371</v>
      </c>
      <c r="N21" s="476">
        <f t="shared" si="4"/>
        <v>0</v>
      </c>
      <c r="O21" s="476">
        <f t="shared" si="5"/>
        <v>0</v>
      </c>
      <c r="P21" s="241"/>
    </row>
    <row r="22" spans="2:16" ht="12.5">
      <c r="B22" s="160" t="str">
        <f t="shared" si="7"/>
        <v/>
      </c>
      <c r="C22" s="470">
        <f>IF(D11="","-",+C21+1)</f>
        <v>2022</v>
      </c>
      <c r="D22" s="582">
        <v>1190897.8684626126</v>
      </c>
      <c r="E22" s="583">
        <v>31880.428571428572</v>
      </c>
      <c r="F22" s="582">
        <v>1159017.439891184</v>
      </c>
      <c r="G22" s="583">
        <v>158554.07703900614</v>
      </c>
      <c r="H22" s="585">
        <v>158554.07703900614</v>
      </c>
      <c r="I22" s="473">
        <f t="shared" si="0"/>
        <v>0</v>
      </c>
      <c r="J22" s="473"/>
      <c r="K22" s="476">
        <f t="shared" si="1"/>
        <v>158554.07703900614</v>
      </c>
      <c r="L22" s="476">
        <f t="shared" ref="L22" si="10">IF(K22&lt;&gt;0,+G22-K22,0)</f>
        <v>0</v>
      </c>
      <c r="M22" s="476">
        <f t="shared" si="3"/>
        <v>158554.07703900614</v>
      </c>
      <c r="N22" s="476">
        <f t="shared" si="4"/>
        <v>0</v>
      </c>
      <c r="O22" s="476">
        <f t="shared" si="5"/>
        <v>0</v>
      </c>
      <c r="P22" s="241"/>
    </row>
    <row r="23" spans="2:16" ht="12.5">
      <c r="B23" s="160" t="str">
        <f t="shared" si="7"/>
        <v>IU</v>
      </c>
      <c r="C23" s="470">
        <f>IF(D11="","-",+C22+1)</f>
        <v>2023</v>
      </c>
      <c r="D23" s="582">
        <v>1159017.3498911844</v>
      </c>
      <c r="E23" s="583">
        <v>34332.766923076932</v>
      </c>
      <c r="F23" s="582">
        <v>1124684.5829681074</v>
      </c>
      <c r="G23" s="583">
        <v>170622.90008256794</v>
      </c>
      <c r="H23" s="585">
        <v>170622.90008256794</v>
      </c>
      <c r="I23" s="473">
        <f t="shared" si="0"/>
        <v>0</v>
      </c>
      <c r="J23" s="473"/>
      <c r="K23" s="476">
        <f t="shared" ref="K23" si="11">+G23</f>
        <v>170622.90008256794</v>
      </c>
      <c r="L23" s="476">
        <f t="shared" ref="L23" si="12">IF(K23&lt;&gt;0,+G23-K23,0)</f>
        <v>0</v>
      </c>
      <c r="M23" s="476">
        <f t="shared" ref="M23" si="13">+H23</f>
        <v>170622.90008256794</v>
      </c>
      <c r="N23" s="476">
        <f t="shared" si="4"/>
        <v>0</v>
      </c>
      <c r="O23" s="476">
        <f t="shared" si="5"/>
        <v>0</v>
      </c>
      <c r="P23" s="241"/>
    </row>
    <row r="24" spans="2:16" ht="12.5">
      <c r="B24" s="160" t="str">
        <f t="shared" si="7"/>
        <v/>
      </c>
      <c r="C24" s="470">
        <f>IF(D11="","-",+C23+1)</f>
        <v>2024</v>
      </c>
      <c r="D24" s="481">
        <f>IF(F23+SUM(E$17:E23)=D$10,F23,D$10-SUM(E$17:E23))</f>
        <v>1124684.5829681074</v>
      </c>
      <c r="E24" s="482">
        <f t="shared" ref="E24:E72" si="14">IF(+I$14&lt;F23,I$14,D24)</f>
        <v>34332.766923076932</v>
      </c>
      <c r="F24" s="483">
        <f t="shared" ref="F24:F72" si="15">+D24-E24</f>
        <v>1090351.8160450305</v>
      </c>
      <c r="G24" s="484">
        <f t="shared" ref="G24:G72" si="16">(D24+F24)/2*I$12+E24</f>
        <v>166524.97704948511</v>
      </c>
      <c r="H24" s="453">
        <f t="shared" ref="H24:H72" si="17">+(D24+F24)/2*I$13+E24</f>
        <v>166524.97704948511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 ht="12.5">
      <c r="B25" s="160" t="str">
        <f t="shared" si="7"/>
        <v/>
      </c>
      <c r="C25" s="470">
        <f>IF(D11="","-",+C24+1)</f>
        <v>2025</v>
      </c>
      <c r="D25" s="481">
        <f>IF(F24+SUM(E$17:E24)=D$10,F24,D$10-SUM(E$17:E24))</f>
        <v>1090351.8160450305</v>
      </c>
      <c r="E25" s="482">
        <f t="shared" si="14"/>
        <v>34332.766923076932</v>
      </c>
      <c r="F25" s="483">
        <f t="shared" si="15"/>
        <v>1056019.0491219535</v>
      </c>
      <c r="G25" s="484">
        <f t="shared" si="16"/>
        <v>162427.05401640231</v>
      </c>
      <c r="H25" s="453">
        <f t="shared" si="17"/>
        <v>162427.05401640231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 ht="12.5">
      <c r="B26" s="160" t="str">
        <f t="shared" si="7"/>
        <v/>
      </c>
      <c r="C26" s="470">
        <f>IF(D11="","-",+C25+1)</f>
        <v>2026</v>
      </c>
      <c r="D26" s="481">
        <f>IF(F25+SUM(E$17:E25)=D$10,F25,D$10-SUM(E$17:E25))</f>
        <v>1056019.0491219535</v>
      </c>
      <c r="E26" s="482">
        <f t="shared" si="14"/>
        <v>34332.766923076932</v>
      </c>
      <c r="F26" s="483">
        <f t="shared" si="15"/>
        <v>1021686.2821988766</v>
      </c>
      <c r="G26" s="484">
        <f t="shared" si="16"/>
        <v>158329.13098331948</v>
      </c>
      <c r="H26" s="453">
        <f t="shared" si="17"/>
        <v>158329.13098331948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 ht="12.5">
      <c r="B27" s="160" t="str">
        <f t="shared" si="7"/>
        <v/>
      </c>
      <c r="C27" s="470">
        <f>IF(D11="","-",+C26+1)</f>
        <v>2027</v>
      </c>
      <c r="D27" s="481">
        <f>IF(F26+SUM(E$17:E26)=D$10,F26,D$10-SUM(E$17:E26))</f>
        <v>1021686.2821988766</v>
      </c>
      <c r="E27" s="482">
        <f t="shared" si="14"/>
        <v>34332.766923076932</v>
      </c>
      <c r="F27" s="483">
        <f t="shared" si="15"/>
        <v>987353.51527579967</v>
      </c>
      <c r="G27" s="484">
        <f t="shared" si="16"/>
        <v>154231.20795023665</v>
      </c>
      <c r="H27" s="453">
        <f t="shared" si="17"/>
        <v>154231.20795023665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 ht="12.5">
      <c r="B28" s="160" t="str">
        <f t="shared" si="7"/>
        <v/>
      </c>
      <c r="C28" s="470">
        <f>IF(D11="","-",+C27+1)</f>
        <v>2028</v>
      </c>
      <c r="D28" s="481">
        <f>IF(F27+SUM(E$17:E27)=D$10,F27,D$10-SUM(E$17:E27))</f>
        <v>987353.51527579967</v>
      </c>
      <c r="E28" s="482">
        <f t="shared" si="14"/>
        <v>34332.766923076932</v>
      </c>
      <c r="F28" s="483">
        <f t="shared" si="15"/>
        <v>953020.74835272273</v>
      </c>
      <c r="G28" s="484">
        <f t="shared" si="16"/>
        <v>150133.28491715383</v>
      </c>
      <c r="H28" s="453">
        <f t="shared" si="17"/>
        <v>150133.28491715383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 ht="12.5">
      <c r="B29" s="160" t="str">
        <f t="shared" si="7"/>
        <v/>
      </c>
      <c r="C29" s="470">
        <f>IF(D11="","-",+C28+1)</f>
        <v>2029</v>
      </c>
      <c r="D29" s="481">
        <f>IF(F28+SUM(E$17:E28)=D$10,F28,D$10-SUM(E$17:E28))</f>
        <v>953020.74835272273</v>
      </c>
      <c r="E29" s="482">
        <f t="shared" si="14"/>
        <v>34332.766923076932</v>
      </c>
      <c r="F29" s="483">
        <f t="shared" si="15"/>
        <v>918687.98142964579</v>
      </c>
      <c r="G29" s="484">
        <f t="shared" si="16"/>
        <v>146035.36188407103</v>
      </c>
      <c r="H29" s="453">
        <f t="shared" si="17"/>
        <v>146035.36188407103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 ht="12.5">
      <c r="B30" s="160" t="str">
        <f t="shared" si="7"/>
        <v/>
      </c>
      <c r="C30" s="470">
        <f>IF(D11="","-",+C29+1)</f>
        <v>2030</v>
      </c>
      <c r="D30" s="481">
        <f>IF(F29+SUM(E$17:E29)=D$10,F29,D$10-SUM(E$17:E29))</f>
        <v>918687.98142964579</v>
      </c>
      <c r="E30" s="482">
        <f t="shared" si="14"/>
        <v>34332.766923076932</v>
      </c>
      <c r="F30" s="483">
        <f t="shared" si="15"/>
        <v>884355.21450656885</v>
      </c>
      <c r="G30" s="484">
        <f t="shared" si="16"/>
        <v>141937.4388509882</v>
      </c>
      <c r="H30" s="453">
        <f t="shared" si="17"/>
        <v>141937.4388509882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 ht="12.5">
      <c r="B31" s="160" t="str">
        <f t="shared" si="7"/>
        <v/>
      </c>
      <c r="C31" s="470">
        <f>IF(D11="","-",+C30+1)</f>
        <v>2031</v>
      </c>
      <c r="D31" s="481">
        <f>IF(F30+SUM(E$17:E30)=D$10,F30,D$10-SUM(E$17:E30))</f>
        <v>884355.21450656885</v>
      </c>
      <c r="E31" s="482">
        <f t="shared" si="14"/>
        <v>34332.766923076932</v>
      </c>
      <c r="F31" s="483">
        <f t="shared" si="15"/>
        <v>850022.44758349191</v>
      </c>
      <c r="G31" s="484">
        <f t="shared" si="16"/>
        <v>137839.51581790537</v>
      </c>
      <c r="H31" s="453">
        <f t="shared" si="17"/>
        <v>137839.51581790537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 ht="12.5">
      <c r="B32" s="160" t="str">
        <f t="shared" si="7"/>
        <v/>
      </c>
      <c r="C32" s="470">
        <f>IF(D11="","-",+C31+1)</f>
        <v>2032</v>
      </c>
      <c r="D32" s="481">
        <f>IF(F31+SUM(E$17:E31)=D$10,F31,D$10-SUM(E$17:E31))</f>
        <v>850022.44758349191</v>
      </c>
      <c r="E32" s="482">
        <f t="shared" si="14"/>
        <v>34332.766923076932</v>
      </c>
      <c r="F32" s="483">
        <f t="shared" si="15"/>
        <v>815689.68066041498</v>
      </c>
      <c r="G32" s="484">
        <f t="shared" si="16"/>
        <v>133741.59278482254</v>
      </c>
      <c r="H32" s="453">
        <f t="shared" si="17"/>
        <v>133741.59278482254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 ht="12.5">
      <c r="B33" s="160" t="str">
        <f t="shared" si="7"/>
        <v/>
      </c>
      <c r="C33" s="470">
        <f>IF(D11="","-",+C32+1)</f>
        <v>2033</v>
      </c>
      <c r="D33" s="481">
        <f>IF(F32+SUM(E$17:E32)=D$10,F32,D$10-SUM(E$17:E32))</f>
        <v>815689.68066041498</v>
      </c>
      <c r="E33" s="482">
        <f t="shared" si="14"/>
        <v>34332.766923076932</v>
      </c>
      <c r="F33" s="483">
        <f t="shared" si="15"/>
        <v>781356.91373733804</v>
      </c>
      <c r="G33" s="484">
        <f t="shared" si="16"/>
        <v>129643.66975173974</v>
      </c>
      <c r="H33" s="453">
        <f t="shared" si="17"/>
        <v>129643.66975173974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 ht="12.5">
      <c r="B34" s="160" t="str">
        <f t="shared" si="7"/>
        <v/>
      </c>
      <c r="C34" s="470">
        <f>IF(D11="","-",+C33+1)</f>
        <v>2034</v>
      </c>
      <c r="D34" s="481">
        <f>IF(F33+SUM(E$17:E33)=D$10,F33,D$10-SUM(E$17:E33))</f>
        <v>781356.91373733804</v>
      </c>
      <c r="E34" s="482">
        <f t="shared" si="14"/>
        <v>34332.766923076932</v>
      </c>
      <c r="F34" s="483">
        <f t="shared" si="15"/>
        <v>747024.1468142611</v>
      </c>
      <c r="G34" s="484">
        <f t="shared" si="16"/>
        <v>125545.74671865691</v>
      </c>
      <c r="H34" s="453">
        <f t="shared" si="17"/>
        <v>125545.74671865691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 ht="12.5">
      <c r="B35" s="160" t="str">
        <f t="shared" si="7"/>
        <v/>
      </c>
      <c r="C35" s="470">
        <f>IF(D11="","-",+C34+1)</f>
        <v>2035</v>
      </c>
      <c r="D35" s="481">
        <f>IF(F34+SUM(E$17:E34)=D$10,F34,D$10-SUM(E$17:E34))</f>
        <v>747024.1468142611</v>
      </c>
      <c r="E35" s="482">
        <f t="shared" si="14"/>
        <v>34332.766923076932</v>
      </c>
      <c r="F35" s="483">
        <f t="shared" si="15"/>
        <v>712691.37989118416</v>
      </c>
      <c r="G35" s="484">
        <f t="shared" si="16"/>
        <v>121447.82368557408</v>
      </c>
      <c r="H35" s="453">
        <f t="shared" si="17"/>
        <v>121447.82368557408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 ht="12.5">
      <c r="B36" s="160" t="str">
        <f t="shared" si="7"/>
        <v/>
      </c>
      <c r="C36" s="470">
        <f>IF(D11="","-",+C35+1)</f>
        <v>2036</v>
      </c>
      <c r="D36" s="481">
        <f>IF(F35+SUM(E$17:E35)=D$10,F35,D$10-SUM(E$17:E35))</f>
        <v>712691.37989118416</v>
      </c>
      <c r="E36" s="482">
        <f t="shared" si="14"/>
        <v>34332.766923076932</v>
      </c>
      <c r="F36" s="483">
        <f t="shared" si="15"/>
        <v>678358.61296810722</v>
      </c>
      <c r="G36" s="484">
        <f t="shared" si="16"/>
        <v>117349.90065249128</v>
      </c>
      <c r="H36" s="453">
        <f t="shared" si="17"/>
        <v>117349.90065249128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 ht="12.5">
      <c r="B37" s="160" t="str">
        <f t="shared" si="7"/>
        <v/>
      </c>
      <c r="C37" s="470">
        <f>IF(D11="","-",+C36+1)</f>
        <v>2037</v>
      </c>
      <c r="D37" s="481">
        <f>IF(F36+SUM(E$17:E36)=D$10,F36,D$10-SUM(E$17:E36))</f>
        <v>678358.61296810722</v>
      </c>
      <c r="E37" s="482">
        <f t="shared" si="14"/>
        <v>34332.766923076932</v>
      </c>
      <c r="F37" s="483">
        <f t="shared" si="15"/>
        <v>644025.84604503028</v>
      </c>
      <c r="G37" s="484">
        <f t="shared" si="16"/>
        <v>113251.97761940846</v>
      </c>
      <c r="H37" s="453">
        <f t="shared" si="17"/>
        <v>113251.97761940846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 ht="12.5">
      <c r="B38" s="160" t="str">
        <f t="shared" si="7"/>
        <v/>
      </c>
      <c r="C38" s="470">
        <f>IF(D11="","-",+C37+1)</f>
        <v>2038</v>
      </c>
      <c r="D38" s="481">
        <f>IF(F37+SUM(E$17:E37)=D$10,F37,D$10-SUM(E$17:E37))</f>
        <v>644025.84604503028</v>
      </c>
      <c r="E38" s="482">
        <f t="shared" si="14"/>
        <v>34332.766923076932</v>
      </c>
      <c r="F38" s="483">
        <f t="shared" si="15"/>
        <v>609693.07912195334</v>
      </c>
      <c r="G38" s="484">
        <f t="shared" si="16"/>
        <v>109154.05458632563</v>
      </c>
      <c r="H38" s="453">
        <f t="shared" si="17"/>
        <v>109154.05458632563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 ht="12.5">
      <c r="B39" s="160" t="str">
        <f t="shared" si="7"/>
        <v/>
      </c>
      <c r="C39" s="470">
        <f>IF(D11="","-",+C38+1)</f>
        <v>2039</v>
      </c>
      <c r="D39" s="481">
        <f>IF(F38+SUM(E$17:E38)=D$10,F38,D$10-SUM(E$17:E38))</f>
        <v>609693.07912195334</v>
      </c>
      <c r="E39" s="482">
        <f t="shared" si="14"/>
        <v>34332.766923076932</v>
      </c>
      <c r="F39" s="483">
        <f t="shared" si="15"/>
        <v>575360.3121988764</v>
      </c>
      <c r="G39" s="484">
        <f t="shared" si="16"/>
        <v>105056.1315532428</v>
      </c>
      <c r="H39" s="453">
        <f t="shared" si="17"/>
        <v>105056.1315532428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 ht="12.5">
      <c r="B40" s="160" t="str">
        <f t="shared" si="7"/>
        <v/>
      </c>
      <c r="C40" s="470">
        <f>IF(D11="","-",+C39+1)</f>
        <v>2040</v>
      </c>
      <c r="D40" s="481">
        <f>IF(F39+SUM(E$17:E39)=D$10,F39,D$10-SUM(E$17:E39))</f>
        <v>575360.3121988764</v>
      </c>
      <c r="E40" s="482">
        <f t="shared" si="14"/>
        <v>34332.766923076932</v>
      </c>
      <c r="F40" s="483">
        <f t="shared" si="15"/>
        <v>541027.54527579946</v>
      </c>
      <c r="G40" s="484">
        <f t="shared" si="16"/>
        <v>100958.20852016</v>
      </c>
      <c r="H40" s="453">
        <f t="shared" si="17"/>
        <v>100958.20852016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 ht="12.5">
      <c r="B41" s="160" t="str">
        <f t="shared" si="7"/>
        <v/>
      </c>
      <c r="C41" s="470">
        <f>IF(D11="","-",+C40+1)</f>
        <v>2041</v>
      </c>
      <c r="D41" s="481">
        <f>IF(F40+SUM(E$17:E40)=D$10,F40,D$10-SUM(E$17:E40))</f>
        <v>541027.54527579946</v>
      </c>
      <c r="E41" s="482">
        <f t="shared" si="14"/>
        <v>34332.766923076932</v>
      </c>
      <c r="F41" s="483">
        <f t="shared" si="15"/>
        <v>506694.77835272253</v>
      </c>
      <c r="G41" s="484">
        <f t="shared" si="16"/>
        <v>96860.28548707717</v>
      </c>
      <c r="H41" s="453">
        <f t="shared" si="17"/>
        <v>96860.28548707717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 ht="12.5">
      <c r="B42" s="160" t="str">
        <f t="shared" si="7"/>
        <v/>
      </c>
      <c r="C42" s="470">
        <f>IF(D11="","-",+C41+1)</f>
        <v>2042</v>
      </c>
      <c r="D42" s="481">
        <f>IF(F41+SUM(E$17:E41)=D$10,F41,D$10-SUM(E$17:E41))</f>
        <v>506694.77835272253</v>
      </c>
      <c r="E42" s="482">
        <f t="shared" si="14"/>
        <v>34332.766923076932</v>
      </c>
      <c r="F42" s="483">
        <f t="shared" si="15"/>
        <v>472362.01142964559</v>
      </c>
      <c r="G42" s="484">
        <f t="shared" si="16"/>
        <v>92762.362453994341</v>
      </c>
      <c r="H42" s="453">
        <f t="shared" si="17"/>
        <v>92762.362453994341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 ht="12.5">
      <c r="B43" s="160" t="str">
        <f t="shared" si="7"/>
        <v/>
      </c>
      <c r="C43" s="470">
        <f>IF(D11="","-",+C42+1)</f>
        <v>2043</v>
      </c>
      <c r="D43" s="481">
        <f>IF(F42+SUM(E$17:E42)=D$10,F42,D$10-SUM(E$17:E42))</f>
        <v>472362.01142964559</v>
      </c>
      <c r="E43" s="482">
        <f t="shared" si="14"/>
        <v>34332.766923076932</v>
      </c>
      <c r="F43" s="483">
        <f t="shared" si="15"/>
        <v>438029.24450656865</v>
      </c>
      <c r="G43" s="484">
        <f t="shared" si="16"/>
        <v>88664.439420911527</v>
      </c>
      <c r="H43" s="453">
        <f t="shared" si="17"/>
        <v>88664.439420911527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 ht="12.5">
      <c r="B44" s="160" t="str">
        <f t="shared" si="7"/>
        <v/>
      </c>
      <c r="C44" s="470">
        <f>IF(D11="","-",+C43+1)</f>
        <v>2044</v>
      </c>
      <c r="D44" s="481">
        <f>IF(F43+SUM(E$17:E43)=D$10,F43,D$10-SUM(E$17:E43))</f>
        <v>438029.24450656865</v>
      </c>
      <c r="E44" s="482">
        <f t="shared" si="14"/>
        <v>34332.766923076932</v>
      </c>
      <c r="F44" s="483">
        <f t="shared" si="15"/>
        <v>403696.47758349171</v>
      </c>
      <c r="G44" s="484">
        <f t="shared" si="16"/>
        <v>84566.516387828713</v>
      </c>
      <c r="H44" s="453">
        <f t="shared" si="17"/>
        <v>84566.516387828713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 ht="12.5">
      <c r="B45" s="160" t="str">
        <f t="shared" si="7"/>
        <v/>
      </c>
      <c r="C45" s="470">
        <f>IF(D11="","-",+C44+1)</f>
        <v>2045</v>
      </c>
      <c r="D45" s="481">
        <f>IF(F44+SUM(E$17:E44)=D$10,F44,D$10-SUM(E$17:E44))</f>
        <v>403696.47758349171</v>
      </c>
      <c r="E45" s="482">
        <f t="shared" si="14"/>
        <v>34332.766923076932</v>
      </c>
      <c r="F45" s="483">
        <f t="shared" si="15"/>
        <v>369363.71066041477</v>
      </c>
      <c r="G45" s="484">
        <f t="shared" si="16"/>
        <v>80468.593354745884</v>
      </c>
      <c r="H45" s="453">
        <f t="shared" si="17"/>
        <v>80468.593354745884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 ht="12.5">
      <c r="B46" s="160" t="str">
        <f t="shared" si="7"/>
        <v/>
      </c>
      <c r="C46" s="470">
        <f>IF(D11="","-",+C45+1)</f>
        <v>2046</v>
      </c>
      <c r="D46" s="481">
        <f>IF(F45+SUM(E$17:E45)=D$10,F45,D$10-SUM(E$17:E45))</f>
        <v>369363.71066041477</v>
      </c>
      <c r="E46" s="482">
        <f t="shared" si="14"/>
        <v>34332.766923076932</v>
      </c>
      <c r="F46" s="483">
        <f t="shared" si="15"/>
        <v>335030.94373733783</v>
      </c>
      <c r="G46" s="484">
        <f t="shared" si="16"/>
        <v>76370.67032166307</v>
      </c>
      <c r="H46" s="453">
        <f t="shared" si="17"/>
        <v>76370.67032166307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 ht="12.5">
      <c r="B47" s="160" t="str">
        <f t="shared" si="7"/>
        <v/>
      </c>
      <c r="C47" s="470">
        <f>IF(D11="","-",+C46+1)</f>
        <v>2047</v>
      </c>
      <c r="D47" s="481">
        <f>IF(F46+SUM(E$17:E46)=D$10,F46,D$10-SUM(E$17:E46))</f>
        <v>335030.94373733783</v>
      </c>
      <c r="E47" s="482">
        <f t="shared" si="14"/>
        <v>34332.766923076932</v>
      </c>
      <c r="F47" s="483">
        <f t="shared" si="15"/>
        <v>300698.17681426089</v>
      </c>
      <c r="G47" s="484">
        <f t="shared" si="16"/>
        <v>72272.747288580256</v>
      </c>
      <c r="H47" s="453">
        <f t="shared" si="17"/>
        <v>72272.747288580256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 ht="12.5">
      <c r="B48" s="160" t="str">
        <f t="shared" si="7"/>
        <v/>
      </c>
      <c r="C48" s="470">
        <f>IF(D11="","-",+C47+1)</f>
        <v>2048</v>
      </c>
      <c r="D48" s="481">
        <f>IF(F47+SUM(E$17:E47)=D$10,F47,D$10-SUM(E$17:E47))</f>
        <v>300698.17681426089</v>
      </c>
      <c r="E48" s="482">
        <f t="shared" si="14"/>
        <v>34332.766923076932</v>
      </c>
      <c r="F48" s="483">
        <f t="shared" si="15"/>
        <v>266365.40989118395</v>
      </c>
      <c r="G48" s="484">
        <f t="shared" si="16"/>
        <v>68174.824255497428</v>
      </c>
      <c r="H48" s="453">
        <f t="shared" si="17"/>
        <v>68174.824255497428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 ht="12.5">
      <c r="B49" s="160" t="str">
        <f t="shared" si="7"/>
        <v/>
      </c>
      <c r="C49" s="470">
        <f>IF(D11="","-",+C48+1)</f>
        <v>2049</v>
      </c>
      <c r="D49" s="481">
        <f>IF(F48+SUM(E$17:E48)=D$10,F48,D$10-SUM(E$17:E48))</f>
        <v>266365.40989118395</v>
      </c>
      <c r="E49" s="482">
        <f t="shared" si="14"/>
        <v>34332.766923076932</v>
      </c>
      <c r="F49" s="483">
        <f t="shared" si="15"/>
        <v>232032.64296810701</v>
      </c>
      <c r="G49" s="484">
        <f t="shared" si="16"/>
        <v>64076.901222414606</v>
      </c>
      <c r="H49" s="453">
        <f t="shared" si="17"/>
        <v>64076.901222414606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 ht="12.5">
      <c r="B50" s="160" t="str">
        <f t="shared" si="7"/>
        <v/>
      </c>
      <c r="C50" s="470">
        <f>IF(D11="","-",+C49+1)</f>
        <v>2050</v>
      </c>
      <c r="D50" s="481">
        <f>IF(F49+SUM(E$17:E49)=D$10,F49,D$10-SUM(E$17:E49))</f>
        <v>232032.64296810701</v>
      </c>
      <c r="E50" s="482">
        <f t="shared" si="14"/>
        <v>34332.766923076932</v>
      </c>
      <c r="F50" s="483">
        <f t="shared" si="15"/>
        <v>197699.87604503008</v>
      </c>
      <c r="G50" s="484">
        <f t="shared" si="16"/>
        <v>59978.978189331785</v>
      </c>
      <c r="H50" s="453">
        <f t="shared" si="17"/>
        <v>59978.978189331785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 ht="12.5">
      <c r="B51" s="160" t="str">
        <f t="shared" si="7"/>
        <v/>
      </c>
      <c r="C51" s="470">
        <f>IF(D11="","-",+C50+1)</f>
        <v>2051</v>
      </c>
      <c r="D51" s="481">
        <f>IF(F50+SUM(E$17:E50)=D$10,F50,D$10-SUM(E$17:E50))</f>
        <v>197699.87604503008</v>
      </c>
      <c r="E51" s="482">
        <f t="shared" si="14"/>
        <v>34332.766923076932</v>
      </c>
      <c r="F51" s="483">
        <f t="shared" si="15"/>
        <v>163367.10912195314</v>
      </c>
      <c r="G51" s="484">
        <f t="shared" si="16"/>
        <v>55881.055156248964</v>
      </c>
      <c r="H51" s="453">
        <f t="shared" si="17"/>
        <v>55881.055156248964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 ht="12.5">
      <c r="B52" s="160" t="str">
        <f t="shared" si="7"/>
        <v/>
      </c>
      <c r="C52" s="470">
        <f>IF(D11="","-",+C51+1)</f>
        <v>2052</v>
      </c>
      <c r="D52" s="481">
        <f>IF(F51+SUM(E$17:E51)=D$10,F51,D$10-SUM(E$17:E51))</f>
        <v>163367.10912195314</v>
      </c>
      <c r="E52" s="482">
        <f t="shared" si="14"/>
        <v>34332.766923076932</v>
      </c>
      <c r="F52" s="483">
        <f t="shared" si="15"/>
        <v>129034.3421988762</v>
      </c>
      <c r="G52" s="484">
        <f t="shared" si="16"/>
        <v>51783.132123166142</v>
      </c>
      <c r="H52" s="453">
        <f t="shared" si="17"/>
        <v>51783.132123166142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 ht="12.5">
      <c r="B53" s="160" t="str">
        <f t="shared" si="7"/>
        <v/>
      </c>
      <c r="C53" s="470">
        <f>IF(D11="","-",+C52+1)</f>
        <v>2053</v>
      </c>
      <c r="D53" s="481">
        <f>IF(F52+SUM(E$17:E52)=D$10,F52,D$10-SUM(E$17:E52))</f>
        <v>129034.3421988762</v>
      </c>
      <c r="E53" s="482">
        <f t="shared" si="14"/>
        <v>34332.766923076932</v>
      </c>
      <c r="F53" s="483">
        <f t="shared" si="15"/>
        <v>94701.57527579926</v>
      </c>
      <c r="G53" s="484">
        <f t="shared" si="16"/>
        <v>47685.209090083328</v>
      </c>
      <c r="H53" s="453">
        <f t="shared" si="17"/>
        <v>47685.209090083328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 ht="12.5">
      <c r="B54" s="160" t="str">
        <f t="shared" si="7"/>
        <v/>
      </c>
      <c r="C54" s="470">
        <f>IF(D11="","-",+C53+1)</f>
        <v>2054</v>
      </c>
      <c r="D54" s="481">
        <f>IF(F53+SUM(E$17:E53)=D$10,F53,D$10-SUM(E$17:E53))</f>
        <v>94701.57527579926</v>
      </c>
      <c r="E54" s="482">
        <f t="shared" si="14"/>
        <v>34332.766923076932</v>
      </c>
      <c r="F54" s="483">
        <f t="shared" si="15"/>
        <v>60368.808352722328</v>
      </c>
      <c r="G54" s="484">
        <f t="shared" si="16"/>
        <v>43587.2860570005</v>
      </c>
      <c r="H54" s="453">
        <f t="shared" si="17"/>
        <v>43587.2860570005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 ht="12.5">
      <c r="B55" s="160" t="str">
        <f t="shared" si="7"/>
        <v/>
      </c>
      <c r="C55" s="470">
        <f>IF(D11="","-",+C54+1)</f>
        <v>2055</v>
      </c>
      <c r="D55" s="481">
        <f>IF(F54+SUM(E$17:E54)=D$10,F54,D$10-SUM(E$17:E54))</f>
        <v>60368.808352722328</v>
      </c>
      <c r="E55" s="482">
        <f t="shared" si="14"/>
        <v>34332.766923076932</v>
      </c>
      <c r="F55" s="483">
        <f t="shared" si="15"/>
        <v>26036.041429645396</v>
      </c>
      <c r="G55" s="484">
        <f t="shared" si="16"/>
        <v>39489.363023917685</v>
      </c>
      <c r="H55" s="453">
        <f t="shared" si="17"/>
        <v>39489.363023917685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 ht="12.5">
      <c r="B56" s="160" t="str">
        <f t="shared" si="7"/>
        <v/>
      </c>
      <c r="C56" s="470">
        <f>IF(D11="","-",+C55+1)</f>
        <v>2056</v>
      </c>
      <c r="D56" s="481">
        <f>IF(F55+SUM(E$17:E55)=D$10,F55,D$10-SUM(E$17:E55))</f>
        <v>26036.041429645396</v>
      </c>
      <c r="E56" s="482">
        <f t="shared" si="14"/>
        <v>26036.041429645396</v>
      </c>
      <c r="F56" s="483">
        <f t="shared" si="15"/>
        <v>0</v>
      </c>
      <c r="G56" s="484">
        <f t="shared" si="16"/>
        <v>27589.858721795066</v>
      </c>
      <c r="H56" s="453">
        <f t="shared" si="17"/>
        <v>27589.858721795066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 ht="12.5">
      <c r="B57" s="160" t="str">
        <f t="shared" si="7"/>
        <v/>
      </c>
      <c r="C57" s="470">
        <f>IF(D11="","-",+C56+1)</f>
        <v>2057</v>
      </c>
      <c r="D57" s="481">
        <f>IF(F56+SUM(E$17:E56)=D$10,F56,D$10-SUM(E$17:E56))</f>
        <v>0</v>
      </c>
      <c r="E57" s="482">
        <f t="shared" si="14"/>
        <v>0</v>
      </c>
      <c r="F57" s="483">
        <f t="shared" si="15"/>
        <v>0</v>
      </c>
      <c r="G57" s="484">
        <f t="shared" si="16"/>
        <v>0</v>
      </c>
      <c r="H57" s="453">
        <f t="shared" si="17"/>
        <v>0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 ht="12.5">
      <c r="B58" s="160" t="str">
        <f t="shared" si="7"/>
        <v/>
      </c>
      <c r="C58" s="470">
        <f>IF(D11="","-",+C57+1)</f>
        <v>2058</v>
      </c>
      <c r="D58" s="481">
        <f>IF(F57+SUM(E$17:E57)=D$10,F57,D$10-SUM(E$17:E57))</f>
        <v>0</v>
      </c>
      <c r="E58" s="482">
        <f t="shared" si="14"/>
        <v>0</v>
      </c>
      <c r="F58" s="483">
        <f t="shared" si="15"/>
        <v>0</v>
      </c>
      <c r="G58" s="484">
        <f t="shared" si="16"/>
        <v>0</v>
      </c>
      <c r="H58" s="453">
        <f t="shared" si="17"/>
        <v>0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 ht="12.5">
      <c r="B59" s="160" t="str">
        <f t="shared" si="7"/>
        <v/>
      </c>
      <c r="C59" s="470">
        <f>IF(D11="","-",+C58+1)</f>
        <v>2059</v>
      </c>
      <c r="D59" s="481">
        <f>IF(F58+SUM(E$17:E58)=D$10,F58,D$10-SUM(E$17:E58))</f>
        <v>0</v>
      </c>
      <c r="E59" s="482">
        <f t="shared" si="14"/>
        <v>0</v>
      </c>
      <c r="F59" s="483">
        <f t="shared" si="15"/>
        <v>0</v>
      </c>
      <c r="G59" s="484">
        <f t="shared" si="16"/>
        <v>0</v>
      </c>
      <c r="H59" s="453">
        <f t="shared" si="17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 ht="12.5">
      <c r="B60" s="160" t="str">
        <f t="shared" si="7"/>
        <v/>
      </c>
      <c r="C60" s="470">
        <f>IF(D11="","-",+C59+1)</f>
        <v>2060</v>
      </c>
      <c r="D60" s="481">
        <f>IF(F59+SUM(E$17:E59)=D$10,F59,D$10-SUM(E$17:E59))</f>
        <v>0</v>
      </c>
      <c r="E60" s="482">
        <f t="shared" si="14"/>
        <v>0</v>
      </c>
      <c r="F60" s="483">
        <f t="shared" si="15"/>
        <v>0</v>
      </c>
      <c r="G60" s="484">
        <f t="shared" si="16"/>
        <v>0</v>
      </c>
      <c r="H60" s="453">
        <f t="shared" si="17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 ht="12.5">
      <c r="B61" s="160" t="str">
        <f t="shared" si="7"/>
        <v/>
      </c>
      <c r="C61" s="470">
        <f>IF(D11="","-",+C60+1)</f>
        <v>2061</v>
      </c>
      <c r="D61" s="481">
        <f>IF(F60+SUM(E$17:E60)=D$10,F60,D$10-SUM(E$17:E60))</f>
        <v>0</v>
      </c>
      <c r="E61" s="482">
        <f t="shared" si="14"/>
        <v>0</v>
      </c>
      <c r="F61" s="483">
        <f t="shared" si="15"/>
        <v>0</v>
      </c>
      <c r="G61" s="484">
        <f t="shared" si="16"/>
        <v>0</v>
      </c>
      <c r="H61" s="453">
        <f t="shared" si="17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 ht="12.5">
      <c r="B62" s="160" t="str">
        <f t="shared" si="7"/>
        <v/>
      </c>
      <c r="C62" s="470">
        <f>IF(D11="","-",+C61+1)</f>
        <v>2062</v>
      </c>
      <c r="D62" s="481">
        <f>IF(F61+SUM(E$17:E61)=D$10,F61,D$10-SUM(E$17:E61))</f>
        <v>0</v>
      </c>
      <c r="E62" s="482">
        <f t="shared" si="14"/>
        <v>0</v>
      </c>
      <c r="F62" s="483">
        <f t="shared" si="15"/>
        <v>0</v>
      </c>
      <c r="G62" s="484">
        <f t="shared" si="16"/>
        <v>0</v>
      </c>
      <c r="H62" s="453">
        <f t="shared" si="17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 ht="12.5">
      <c r="B63" s="160" t="str">
        <f t="shared" si="7"/>
        <v/>
      </c>
      <c r="C63" s="470">
        <f>IF(D11="","-",+C62+1)</f>
        <v>2063</v>
      </c>
      <c r="D63" s="481">
        <f>IF(F62+SUM(E$17:E62)=D$10,F62,D$10-SUM(E$17:E62))</f>
        <v>0</v>
      </c>
      <c r="E63" s="482">
        <f t="shared" si="14"/>
        <v>0</v>
      </c>
      <c r="F63" s="483">
        <f t="shared" si="15"/>
        <v>0</v>
      </c>
      <c r="G63" s="484">
        <f t="shared" si="16"/>
        <v>0</v>
      </c>
      <c r="H63" s="453">
        <f t="shared" si="17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 ht="12.5">
      <c r="B64" s="160" t="str">
        <f t="shared" si="7"/>
        <v/>
      </c>
      <c r="C64" s="470">
        <f>IF(D11="","-",+C63+1)</f>
        <v>2064</v>
      </c>
      <c r="D64" s="481">
        <f>IF(F63+SUM(E$17:E63)=D$10,F63,D$10-SUM(E$17:E63))</f>
        <v>0</v>
      </c>
      <c r="E64" s="482">
        <f t="shared" si="14"/>
        <v>0</v>
      </c>
      <c r="F64" s="483">
        <f t="shared" si="15"/>
        <v>0</v>
      </c>
      <c r="G64" s="484">
        <f t="shared" si="16"/>
        <v>0</v>
      </c>
      <c r="H64" s="453">
        <f t="shared" si="17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 ht="12.5">
      <c r="B65" s="160" t="str">
        <f t="shared" si="7"/>
        <v/>
      </c>
      <c r="C65" s="470">
        <f>IF(D11="","-",+C64+1)</f>
        <v>2065</v>
      </c>
      <c r="D65" s="481">
        <f>IF(F64+SUM(E$17:E64)=D$10,F64,D$10-SUM(E$17:E64))</f>
        <v>0</v>
      </c>
      <c r="E65" s="482">
        <f t="shared" si="14"/>
        <v>0</v>
      </c>
      <c r="F65" s="483">
        <f t="shared" si="15"/>
        <v>0</v>
      </c>
      <c r="G65" s="484">
        <f t="shared" si="16"/>
        <v>0</v>
      </c>
      <c r="H65" s="453">
        <f t="shared" si="17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 ht="12.5">
      <c r="B66" s="160" t="str">
        <f t="shared" si="7"/>
        <v/>
      </c>
      <c r="C66" s="470">
        <f>IF(D11="","-",+C65+1)</f>
        <v>2066</v>
      </c>
      <c r="D66" s="481">
        <f>IF(F65+SUM(E$17:E65)=D$10,F65,D$10-SUM(E$17:E65))</f>
        <v>0</v>
      </c>
      <c r="E66" s="482">
        <f t="shared" si="14"/>
        <v>0</v>
      </c>
      <c r="F66" s="483">
        <f t="shared" si="15"/>
        <v>0</v>
      </c>
      <c r="G66" s="484">
        <f t="shared" si="16"/>
        <v>0</v>
      </c>
      <c r="H66" s="453">
        <f t="shared" si="17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 ht="12.5">
      <c r="B67" s="160" t="str">
        <f t="shared" si="7"/>
        <v/>
      </c>
      <c r="C67" s="470">
        <f>IF(D11="","-",+C66+1)</f>
        <v>2067</v>
      </c>
      <c r="D67" s="481">
        <f>IF(F66+SUM(E$17:E66)=D$10,F66,D$10-SUM(E$17:E66))</f>
        <v>0</v>
      </c>
      <c r="E67" s="482">
        <f t="shared" si="14"/>
        <v>0</v>
      </c>
      <c r="F67" s="483">
        <f t="shared" si="15"/>
        <v>0</v>
      </c>
      <c r="G67" s="484">
        <f t="shared" si="16"/>
        <v>0</v>
      </c>
      <c r="H67" s="453">
        <f t="shared" si="17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 ht="12.5">
      <c r="B68" s="160" t="str">
        <f t="shared" si="7"/>
        <v/>
      </c>
      <c r="C68" s="470">
        <f>IF(D11="","-",+C67+1)</f>
        <v>2068</v>
      </c>
      <c r="D68" s="481">
        <f>IF(F67+SUM(E$17:E67)=D$10,F67,D$10-SUM(E$17:E67))</f>
        <v>0</v>
      </c>
      <c r="E68" s="482">
        <f t="shared" si="14"/>
        <v>0</v>
      </c>
      <c r="F68" s="483">
        <f t="shared" si="15"/>
        <v>0</v>
      </c>
      <c r="G68" s="484">
        <f t="shared" si="16"/>
        <v>0</v>
      </c>
      <c r="H68" s="453">
        <f t="shared" si="17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 ht="12.5">
      <c r="B69" s="160" t="str">
        <f t="shared" si="7"/>
        <v/>
      </c>
      <c r="C69" s="470">
        <f>IF(D11="","-",+C68+1)</f>
        <v>2069</v>
      </c>
      <c r="D69" s="481">
        <f>IF(F68+SUM(E$17:E68)=D$10,F68,D$10-SUM(E$17:E68))</f>
        <v>0</v>
      </c>
      <c r="E69" s="482">
        <f t="shared" si="14"/>
        <v>0</v>
      </c>
      <c r="F69" s="483">
        <f t="shared" si="15"/>
        <v>0</v>
      </c>
      <c r="G69" s="484">
        <f t="shared" si="16"/>
        <v>0</v>
      </c>
      <c r="H69" s="453">
        <f t="shared" si="17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 ht="12.5">
      <c r="B70" s="160" t="str">
        <f t="shared" si="7"/>
        <v/>
      </c>
      <c r="C70" s="470">
        <f>IF(D11="","-",+C69+1)</f>
        <v>2070</v>
      </c>
      <c r="D70" s="481">
        <f>IF(F69+SUM(E$17:E69)=D$10,F69,D$10-SUM(E$17:E69))</f>
        <v>0</v>
      </c>
      <c r="E70" s="482">
        <f t="shared" si="14"/>
        <v>0</v>
      </c>
      <c r="F70" s="483">
        <f t="shared" si="15"/>
        <v>0</v>
      </c>
      <c r="G70" s="484">
        <f t="shared" si="16"/>
        <v>0</v>
      </c>
      <c r="H70" s="453">
        <f t="shared" si="17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 ht="12.5">
      <c r="B71" s="160" t="str">
        <f t="shared" si="7"/>
        <v/>
      </c>
      <c r="C71" s="470">
        <f>IF(D11="","-",+C70+1)</f>
        <v>2071</v>
      </c>
      <c r="D71" s="481">
        <f>IF(F70+SUM(E$17:E70)=D$10,F70,D$10-SUM(E$17:E70))</f>
        <v>0</v>
      </c>
      <c r="E71" s="482">
        <f t="shared" si="14"/>
        <v>0</v>
      </c>
      <c r="F71" s="483">
        <f t="shared" si="15"/>
        <v>0</v>
      </c>
      <c r="G71" s="484">
        <f t="shared" si="16"/>
        <v>0</v>
      </c>
      <c r="H71" s="453">
        <f t="shared" si="17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2072</v>
      </c>
      <c r="D72" s="609">
        <f>IF(F71+SUM(E$17:E71)=D$10,F71,D$10-SUM(E$17:E71))</f>
        <v>0</v>
      </c>
      <c r="E72" s="489">
        <f t="shared" si="14"/>
        <v>0</v>
      </c>
      <c r="F72" s="488">
        <f t="shared" si="15"/>
        <v>0</v>
      </c>
      <c r="G72" s="542">
        <f t="shared" si="16"/>
        <v>0</v>
      </c>
      <c r="H72" s="433">
        <f t="shared" si="17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 ht="12.5">
      <c r="C73" s="345" t="s">
        <v>77</v>
      </c>
      <c r="D73" s="346"/>
      <c r="E73" s="346">
        <f>SUM(E17:E72)</f>
        <v>1338977.9100000004</v>
      </c>
      <c r="F73" s="346"/>
      <c r="G73" s="346">
        <f>SUM(G17:G72)</f>
        <v>4446914.7495561447</v>
      </c>
      <c r="H73" s="346">
        <f>SUM(H17:H72)</f>
        <v>4446914.7495561447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19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170622.90008256794</v>
      </c>
      <c r="N87" s="506">
        <f>IF(J92&lt;D11,0,VLOOKUP(J92,C17:O72,11))</f>
        <v>170622.90008256794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165180.91372956004</v>
      </c>
      <c r="N88" s="510">
        <f>IF(J92&lt;D11,0,VLOOKUP(J92,C99:P154,7))</f>
        <v>165180.91372956004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Valliant-NW Texarkana 345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-5441.9863530079019</v>
      </c>
      <c r="N89" s="515">
        <f>+N88-N87</f>
        <v>-5441.9863530079019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TP2009089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IF(D11=I10,0,D10)</f>
        <v>1338977.9100000004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2017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3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35236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2017</v>
      </c>
      <c r="D99" s="582">
        <v>0</v>
      </c>
      <c r="E99" s="605">
        <v>21831</v>
      </c>
      <c r="F99" s="582">
        <v>1317147</v>
      </c>
      <c r="G99" s="605">
        <v>658573.5</v>
      </c>
      <c r="H99" s="585">
        <v>105372.70906867021</v>
      </c>
      <c r="I99" s="604">
        <v>105372.70906867021</v>
      </c>
      <c r="J99" s="476">
        <f t="shared" ref="J99:J130" si="18">+I99-H99</f>
        <v>0</v>
      </c>
      <c r="K99" s="476"/>
      <c r="L99" s="475">
        <f>+H99</f>
        <v>105372.70906867021</v>
      </c>
      <c r="M99" s="475">
        <f t="shared" ref="M99:M130" si="19">IF(L99&lt;&gt;0,+H99-L99,0)</f>
        <v>0</v>
      </c>
      <c r="N99" s="475">
        <f>+I99</f>
        <v>105372.70906867021</v>
      </c>
      <c r="O99" s="475">
        <f t="shared" ref="O99:O130" si="20">IF(N99&lt;&gt;0,+I99-N99,0)</f>
        <v>0</v>
      </c>
      <c r="P99" s="475">
        <f t="shared" ref="P99:P130" si="21">+O99-M99</f>
        <v>0</v>
      </c>
    </row>
    <row r="100" spans="1:16" ht="12.5">
      <c r="B100" s="160" t="str">
        <f>IF(D100=F99,"","IU")</f>
        <v/>
      </c>
      <c r="C100" s="470">
        <f>IF(D93="","-",+C99+1)</f>
        <v>2018</v>
      </c>
      <c r="D100" s="582">
        <v>1317147</v>
      </c>
      <c r="E100" s="583">
        <v>31139</v>
      </c>
      <c r="F100" s="584">
        <v>1286008</v>
      </c>
      <c r="G100" s="584">
        <v>1301577.5</v>
      </c>
      <c r="H100" s="603">
        <v>164857.30223166285</v>
      </c>
      <c r="I100" s="604">
        <v>164857.30223166285</v>
      </c>
      <c r="J100" s="476">
        <f t="shared" si="18"/>
        <v>0</v>
      </c>
      <c r="K100" s="476"/>
      <c r="L100" s="474">
        <f>H100</f>
        <v>164857.30223166285</v>
      </c>
      <c r="M100" s="347">
        <f>IF(L100&lt;&gt;0,+H100-L100,0)</f>
        <v>0</v>
      </c>
      <c r="N100" s="474">
        <f>I100</f>
        <v>164857.30223166285</v>
      </c>
      <c r="O100" s="473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22">IF(D101=F100,"","IU")</f>
        <v/>
      </c>
      <c r="C101" s="470">
        <f>IF(D93="","-",+C100+1)</f>
        <v>2019</v>
      </c>
      <c r="D101" s="582">
        <v>1286008</v>
      </c>
      <c r="E101" s="583">
        <v>32658</v>
      </c>
      <c r="F101" s="584">
        <v>1253350</v>
      </c>
      <c r="G101" s="584">
        <v>1269679</v>
      </c>
      <c r="H101" s="603">
        <v>163579.71352002863</v>
      </c>
      <c r="I101" s="604">
        <v>163579.71352002863</v>
      </c>
      <c r="J101" s="476">
        <f t="shared" si="18"/>
        <v>0</v>
      </c>
      <c r="K101" s="476"/>
      <c r="L101" s="474">
        <f>H101</f>
        <v>163579.71352002863</v>
      </c>
      <c r="M101" s="347">
        <f>IF(L101&lt;&gt;0,+H101-L101,0)</f>
        <v>0</v>
      </c>
      <c r="N101" s="474">
        <f>I101</f>
        <v>163579.71352002863</v>
      </c>
      <c r="O101" s="476">
        <f t="shared" si="20"/>
        <v>0</v>
      </c>
      <c r="P101" s="476">
        <f t="shared" si="21"/>
        <v>0</v>
      </c>
    </row>
    <row r="102" spans="1:16" ht="12.5">
      <c r="B102" s="160" t="str">
        <f t="shared" si="22"/>
        <v/>
      </c>
      <c r="C102" s="470">
        <f>IF(D93="","-",+C101+1)</f>
        <v>2020</v>
      </c>
      <c r="D102" s="582">
        <v>1253350</v>
      </c>
      <c r="E102" s="583">
        <v>31139</v>
      </c>
      <c r="F102" s="584">
        <v>1222211</v>
      </c>
      <c r="G102" s="584">
        <v>1237780.5</v>
      </c>
      <c r="H102" s="603">
        <v>173851.68865310939</v>
      </c>
      <c r="I102" s="604">
        <v>173851.68865310939</v>
      </c>
      <c r="J102" s="476">
        <f t="shared" si="18"/>
        <v>0</v>
      </c>
      <c r="K102" s="476"/>
      <c r="L102" s="474">
        <f>H102</f>
        <v>173851.68865310939</v>
      </c>
      <c r="M102" s="347">
        <f>IF(L102&lt;&gt;0,+H102-L102,0)</f>
        <v>0</v>
      </c>
      <c r="N102" s="474">
        <f>I102</f>
        <v>173851.68865310939</v>
      </c>
      <c r="O102" s="476">
        <f t="shared" si="20"/>
        <v>0</v>
      </c>
      <c r="P102" s="476">
        <f t="shared" si="21"/>
        <v>0</v>
      </c>
    </row>
    <row r="103" spans="1:16" ht="12.5">
      <c r="B103" s="160" t="str">
        <f t="shared" si="22"/>
        <v/>
      </c>
      <c r="C103" s="470">
        <f>IF(D93="","-",+C102+1)</f>
        <v>2021</v>
      </c>
      <c r="D103" s="582">
        <v>1222211</v>
      </c>
      <c r="E103" s="583">
        <v>32658</v>
      </c>
      <c r="F103" s="584">
        <v>1189553</v>
      </c>
      <c r="G103" s="584">
        <v>1205882</v>
      </c>
      <c r="H103" s="603">
        <v>169878.68084636764</v>
      </c>
      <c r="I103" s="604">
        <v>169878.68084636764</v>
      </c>
      <c r="J103" s="476">
        <f t="shared" si="18"/>
        <v>0</v>
      </c>
      <c r="K103" s="476"/>
      <c r="L103" s="474">
        <f>H103</f>
        <v>169878.68084636764</v>
      </c>
      <c r="M103" s="347">
        <f>IF(L103&lt;&gt;0,+H103-L103,0)</f>
        <v>0</v>
      </c>
      <c r="N103" s="474">
        <f>I103</f>
        <v>169878.68084636764</v>
      </c>
      <c r="O103" s="476">
        <f t="shared" si="20"/>
        <v>0</v>
      </c>
      <c r="P103" s="476">
        <f t="shared" si="21"/>
        <v>0</v>
      </c>
    </row>
    <row r="104" spans="1:16" ht="12.5">
      <c r="B104" s="160" t="str">
        <f t="shared" si="22"/>
        <v/>
      </c>
      <c r="C104" s="470">
        <f>IF(D93="","-",+C103+1)</f>
        <v>2022</v>
      </c>
      <c r="D104" s="582">
        <v>1189553</v>
      </c>
      <c r="E104" s="583">
        <v>34333</v>
      </c>
      <c r="F104" s="584">
        <v>1155220</v>
      </c>
      <c r="G104" s="584">
        <v>1172386.5</v>
      </c>
      <c r="H104" s="603">
        <v>163509.65476559798</v>
      </c>
      <c r="I104" s="604">
        <v>163509.65476559798</v>
      </c>
      <c r="J104" s="476">
        <f t="shared" si="18"/>
        <v>0</v>
      </c>
      <c r="K104" s="476"/>
      <c r="L104" s="474">
        <f>H104</f>
        <v>163509.65476559798</v>
      </c>
      <c r="M104" s="347">
        <f>IF(L104&lt;&gt;0,+H104-L104,0)</f>
        <v>0</v>
      </c>
      <c r="N104" s="474">
        <f>I104</f>
        <v>163509.65476559798</v>
      </c>
      <c r="O104" s="476">
        <f t="shared" ref="O104" si="23">IF(N104&lt;&gt;0,+I104-N104,0)</f>
        <v>0</v>
      </c>
      <c r="P104" s="476">
        <f t="shared" ref="P104" si="24">+O104-M104</f>
        <v>0</v>
      </c>
    </row>
    <row r="105" spans="1:16" ht="12.5">
      <c r="B105" s="160" t="str">
        <f t="shared" si="22"/>
        <v>IU</v>
      </c>
      <c r="C105" s="470">
        <f>IF(D93="","-",+C104+1)</f>
        <v>2023</v>
      </c>
      <c r="D105" s="345">
        <f>IF(F104+SUM(E$99:E104)=D$92,F104,D$92-SUM(E$99:E104))</f>
        <v>1155219.9100000004</v>
      </c>
      <c r="E105" s="482">
        <f t="shared" ref="E105:E154" si="25">IF(+J$96&lt;F104,J$96,D105)</f>
        <v>35236</v>
      </c>
      <c r="F105" s="483">
        <f t="shared" ref="F105:F154" si="26">+D105-E105</f>
        <v>1119983.9100000004</v>
      </c>
      <c r="G105" s="483">
        <f t="shared" ref="G105:G154" si="27">+(F105+D105)/2</f>
        <v>1137601.9100000004</v>
      </c>
      <c r="H105" s="484">
        <f t="shared" ref="H105:H153" si="28">(D105+F105)/2*J$94+E105</f>
        <v>165180.91372956004</v>
      </c>
      <c r="I105" s="540">
        <f t="shared" ref="I105:I153" si="29">+J$95*G105+E105</f>
        <v>165180.91372956004</v>
      </c>
      <c r="J105" s="476">
        <f t="shared" si="18"/>
        <v>0</v>
      </c>
      <c r="K105" s="476"/>
      <c r="L105" s="485"/>
      <c r="M105" s="476">
        <f t="shared" si="19"/>
        <v>0</v>
      </c>
      <c r="N105" s="485"/>
      <c r="O105" s="476">
        <f t="shared" si="20"/>
        <v>0</v>
      </c>
      <c r="P105" s="476">
        <f t="shared" si="21"/>
        <v>0</v>
      </c>
    </row>
    <row r="106" spans="1:16" ht="12.5">
      <c r="B106" s="160" t="str">
        <f t="shared" si="22"/>
        <v/>
      </c>
      <c r="C106" s="470">
        <f>IF(D93="","-",+C105+1)</f>
        <v>2024</v>
      </c>
      <c r="D106" s="345">
        <f>IF(F105+SUM(E$99:E105)=D$92,F105,D$92-SUM(E$99:E105))</f>
        <v>1119983.9100000004</v>
      </c>
      <c r="E106" s="482">
        <f t="shared" si="25"/>
        <v>35236</v>
      </c>
      <c r="F106" s="483">
        <f t="shared" si="26"/>
        <v>1084747.9100000004</v>
      </c>
      <c r="G106" s="483">
        <f t="shared" si="27"/>
        <v>1102365.9100000004</v>
      </c>
      <c r="H106" s="484">
        <f t="shared" si="28"/>
        <v>161156.00928809791</v>
      </c>
      <c r="I106" s="540">
        <f t="shared" si="29"/>
        <v>161156.00928809791</v>
      </c>
      <c r="J106" s="476">
        <f t="shared" si="18"/>
        <v>0</v>
      </c>
      <c r="K106" s="476"/>
      <c r="L106" s="485"/>
      <c r="M106" s="476">
        <f t="shared" si="19"/>
        <v>0</v>
      </c>
      <c r="N106" s="485"/>
      <c r="O106" s="476">
        <f t="shared" si="20"/>
        <v>0</v>
      </c>
      <c r="P106" s="476">
        <f t="shared" si="21"/>
        <v>0</v>
      </c>
    </row>
    <row r="107" spans="1:16" ht="12.5">
      <c r="B107" s="160" t="str">
        <f t="shared" si="22"/>
        <v/>
      </c>
      <c r="C107" s="470">
        <f>IF(D93="","-",+C106+1)</f>
        <v>2025</v>
      </c>
      <c r="D107" s="345">
        <f>IF(F106+SUM(E$99:E106)=D$92,F106,D$92-SUM(E$99:E106))</f>
        <v>1084747.9100000004</v>
      </c>
      <c r="E107" s="482">
        <f t="shared" si="25"/>
        <v>35236</v>
      </c>
      <c r="F107" s="483">
        <f t="shared" si="26"/>
        <v>1049511.9100000004</v>
      </c>
      <c r="G107" s="483">
        <f t="shared" si="27"/>
        <v>1067129.9100000004</v>
      </c>
      <c r="H107" s="484">
        <f t="shared" si="28"/>
        <v>157131.10484663583</v>
      </c>
      <c r="I107" s="540">
        <f t="shared" si="29"/>
        <v>157131.10484663583</v>
      </c>
      <c r="J107" s="476">
        <f t="shared" si="18"/>
        <v>0</v>
      </c>
      <c r="K107" s="476"/>
      <c r="L107" s="485"/>
      <c r="M107" s="476">
        <f t="shared" si="19"/>
        <v>0</v>
      </c>
      <c r="N107" s="485"/>
      <c r="O107" s="476">
        <f t="shared" si="20"/>
        <v>0</v>
      </c>
      <c r="P107" s="476">
        <f t="shared" si="21"/>
        <v>0</v>
      </c>
    </row>
    <row r="108" spans="1:16" ht="12.5">
      <c r="B108" s="160" t="str">
        <f t="shared" si="22"/>
        <v/>
      </c>
      <c r="C108" s="470">
        <f>IF(D93="","-",+C107+1)</f>
        <v>2026</v>
      </c>
      <c r="D108" s="345">
        <f>IF(F107+SUM(E$99:E107)=D$92,F107,D$92-SUM(E$99:E107))</f>
        <v>1049511.9100000004</v>
      </c>
      <c r="E108" s="482">
        <f t="shared" si="25"/>
        <v>35236</v>
      </c>
      <c r="F108" s="483">
        <f t="shared" si="26"/>
        <v>1014275.9100000004</v>
      </c>
      <c r="G108" s="483">
        <f t="shared" si="27"/>
        <v>1031893.9100000004</v>
      </c>
      <c r="H108" s="484">
        <f t="shared" si="28"/>
        <v>153106.2004051737</v>
      </c>
      <c r="I108" s="540">
        <f t="shared" si="29"/>
        <v>153106.2004051737</v>
      </c>
      <c r="J108" s="476">
        <f t="shared" si="18"/>
        <v>0</v>
      </c>
      <c r="K108" s="476"/>
      <c r="L108" s="485"/>
      <c r="M108" s="476">
        <f t="shared" si="19"/>
        <v>0</v>
      </c>
      <c r="N108" s="485"/>
      <c r="O108" s="476">
        <f t="shared" si="20"/>
        <v>0</v>
      </c>
      <c r="P108" s="476">
        <f t="shared" si="21"/>
        <v>0</v>
      </c>
    </row>
    <row r="109" spans="1:16" ht="12.5">
      <c r="B109" s="160" t="str">
        <f t="shared" si="22"/>
        <v/>
      </c>
      <c r="C109" s="470">
        <f>IF(D93="","-",+C108+1)</f>
        <v>2027</v>
      </c>
      <c r="D109" s="345">
        <f>IF(F108+SUM(E$99:E108)=D$92,F108,D$92-SUM(E$99:E108))</f>
        <v>1014275.9100000004</v>
      </c>
      <c r="E109" s="482">
        <f t="shared" si="25"/>
        <v>35236</v>
      </c>
      <c r="F109" s="483">
        <f t="shared" si="26"/>
        <v>979039.91000000038</v>
      </c>
      <c r="G109" s="483">
        <f t="shared" si="27"/>
        <v>996657.91000000038</v>
      </c>
      <c r="H109" s="484">
        <f t="shared" si="28"/>
        <v>149081.2959637116</v>
      </c>
      <c r="I109" s="540">
        <f t="shared" si="29"/>
        <v>149081.2959637116</v>
      </c>
      <c r="J109" s="476">
        <f t="shared" si="18"/>
        <v>0</v>
      </c>
      <c r="K109" s="476"/>
      <c r="L109" s="485"/>
      <c r="M109" s="476">
        <f t="shared" si="19"/>
        <v>0</v>
      </c>
      <c r="N109" s="485"/>
      <c r="O109" s="476">
        <f t="shared" si="20"/>
        <v>0</v>
      </c>
      <c r="P109" s="476">
        <f t="shared" si="21"/>
        <v>0</v>
      </c>
    </row>
    <row r="110" spans="1:16" ht="12.5">
      <c r="B110" s="160" t="str">
        <f t="shared" si="22"/>
        <v/>
      </c>
      <c r="C110" s="470">
        <f>IF(D93="","-",+C109+1)</f>
        <v>2028</v>
      </c>
      <c r="D110" s="345">
        <f>IF(F109+SUM(E$99:E109)=D$92,F109,D$92-SUM(E$99:E109))</f>
        <v>979039.91000000038</v>
      </c>
      <c r="E110" s="482">
        <f t="shared" si="25"/>
        <v>35236</v>
      </c>
      <c r="F110" s="483">
        <f t="shared" si="26"/>
        <v>943803.91000000038</v>
      </c>
      <c r="G110" s="483">
        <f t="shared" si="27"/>
        <v>961421.91000000038</v>
      </c>
      <c r="H110" s="484">
        <f t="shared" si="28"/>
        <v>145056.3915222495</v>
      </c>
      <c r="I110" s="540">
        <f t="shared" si="29"/>
        <v>145056.3915222495</v>
      </c>
      <c r="J110" s="476">
        <f t="shared" si="18"/>
        <v>0</v>
      </c>
      <c r="K110" s="476"/>
      <c r="L110" s="485"/>
      <c r="M110" s="476">
        <f t="shared" si="19"/>
        <v>0</v>
      </c>
      <c r="N110" s="485"/>
      <c r="O110" s="476">
        <f t="shared" si="20"/>
        <v>0</v>
      </c>
      <c r="P110" s="476">
        <f t="shared" si="21"/>
        <v>0</v>
      </c>
    </row>
    <row r="111" spans="1:16" ht="12.5">
      <c r="B111" s="160" t="str">
        <f t="shared" si="22"/>
        <v/>
      </c>
      <c r="C111" s="470">
        <f>IF(D93="","-",+C110+1)</f>
        <v>2029</v>
      </c>
      <c r="D111" s="345">
        <f>IF(F110+SUM(E$99:E110)=D$92,F110,D$92-SUM(E$99:E110))</f>
        <v>943803.91000000038</v>
      </c>
      <c r="E111" s="482">
        <f t="shared" si="25"/>
        <v>35236</v>
      </c>
      <c r="F111" s="483">
        <f t="shared" si="26"/>
        <v>908567.91000000038</v>
      </c>
      <c r="G111" s="483">
        <f t="shared" si="27"/>
        <v>926185.91000000038</v>
      </c>
      <c r="H111" s="484">
        <f t="shared" si="28"/>
        <v>141031.4870807874</v>
      </c>
      <c r="I111" s="540">
        <f t="shared" si="29"/>
        <v>141031.4870807874</v>
      </c>
      <c r="J111" s="476">
        <f t="shared" si="18"/>
        <v>0</v>
      </c>
      <c r="K111" s="476"/>
      <c r="L111" s="485"/>
      <c r="M111" s="476">
        <f t="shared" si="19"/>
        <v>0</v>
      </c>
      <c r="N111" s="485"/>
      <c r="O111" s="476">
        <f t="shared" si="20"/>
        <v>0</v>
      </c>
      <c r="P111" s="476">
        <f t="shared" si="21"/>
        <v>0</v>
      </c>
    </row>
    <row r="112" spans="1:16" ht="12.5">
      <c r="B112" s="160" t="str">
        <f t="shared" si="22"/>
        <v/>
      </c>
      <c r="C112" s="470">
        <f>IF(D93="","-",+C111+1)</f>
        <v>2030</v>
      </c>
      <c r="D112" s="345">
        <f>IF(F111+SUM(E$99:E111)=D$92,F111,D$92-SUM(E$99:E111))</f>
        <v>908567.91000000038</v>
      </c>
      <c r="E112" s="482">
        <f t="shared" si="25"/>
        <v>35236</v>
      </c>
      <c r="F112" s="483">
        <f t="shared" si="26"/>
        <v>873331.91000000038</v>
      </c>
      <c r="G112" s="483">
        <f t="shared" si="27"/>
        <v>890949.91000000038</v>
      </c>
      <c r="H112" s="484">
        <f t="shared" si="28"/>
        <v>137006.58263932529</v>
      </c>
      <c r="I112" s="540">
        <f t="shared" si="29"/>
        <v>137006.58263932529</v>
      </c>
      <c r="J112" s="476">
        <f t="shared" si="18"/>
        <v>0</v>
      </c>
      <c r="K112" s="476"/>
      <c r="L112" s="485"/>
      <c r="M112" s="476">
        <f t="shared" si="19"/>
        <v>0</v>
      </c>
      <c r="N112" s="485"/>
      <c r="O112" s="476">
        <f t="shared" si="20"/>
        <v>0</v>
      </c>
      <c r="P112" s="476">
        <f t="shared" si="21"/>
        <v>0</v>
      </c>
    </row>
    <row r="113" spans="2:16" ht="12.5">
      <c r="B113" s="160" t="str">
        <f t="shared" si="22"/>
        <v/>
      </c>
      <c r="C113" s="470">
        <f>IF(D93="","-",+C112+1)</f>
        <v>2031</v>
      </c>
      <c r="D113" s="345">
        <f>IF(F112+SUM(E$99:E112)=D$92,F112,D$92-SUM(E$99:E112))</f>
        <v>873331.91000000038</v>
      </c>
      <c r="E113" s="482">
        <f t="shared" si="25"/>
        <v>35236</v>
      </c>
      <c r="F113" s="483">
        <f t="shared" si="26"/>
        <v>838095.91000000038</v>
      </c>
      <c r="G113" s="483">
        <f t="shared" si="27"/>
        <v>855713.91000000038</v>
      </c>
      <c r="H113" s="484">
        <f t="shared" si="28"/>
        <v>132981.67819786316</v>
      </c>
      <c r="I113" s="540">
        <f t="shared" si="29"/>
        <v>132981.67819786316</v>
      </c>
      <c r="J113" s="476">
        <f t="shared" si="18"/>
        <v>0</v>
      </c>
      <c r="K113" s="476"/>
      <c r="L113" s="485"/>
      <c r="M113" s="476">
        <f t="shared" si="19"/>
        <v>0</v>
      </c>
      <c r="N113" s="485"/>
      <c r="O113" s="476">
        <f t="shared" si="20"/>
        <v>0</v>
      </c>
      <c r="P113" s="476">
        <f t="shared" si="21"/>
        <v>0</v>
      </c>
    </row>
    <row r="114" spans="2:16" ht="12.5">
      <c r="B114" s="160" t="str">
        <f t="shared" si="22"/>
        <v/>
      </c>
      <c r="C114" s="470">
        <f>IF(D93="","-",+C113+1)</f>
        <v>2032</v>
      </c>
      <c r="D114" s="345">
        <f>IF(F113+SUM(E$99:E113)=D$92,F113,D$92-SUM(E$99:E113))</f>
        <v>838095.91000000038</v>
      </c>
      <c r="E114" s="482">
        <f t="shared" si="25"/>
        <v>35236</v>
      </c>
      <c r="F114" s="483">
        <f t="shared" si="26"/>
        <v>802859.91000000038</v>
      </c>
      <c r="G114" s="483">
        <f t="shared" si="27"/>
        <v>820477.91000000038</v>
      </c>
      <c r="H114" s="484">
        <f t="shared" si="28"/>
        <v>128956.77375640107</v>
      </c>
      <c r="I114" s="540">
        <f t="shared" si="29"/>
        <v>128956.77375640107</v>
      </c>
      <c r="J114" s="476">
        <f t="shared" si="18"/>
        <v>0</v>
      </c>
      <c r="K114" s="476"/>
      <c r="L114" s="485"/>
      <c r="M114" s="476">
        <f t="shared" si="19"/>
        <v>0</v>
      </c>
      <c r="N114" s="485"/>
      <c r="O114" s="476">
        <f t="shared" si="20"/>
        <v>0</v>
      </c>
      <c r="P114" s="476">
        <f t="shared" si="21"/>
        <v>0</v>
      </c>
    </row>
    <row r="115" spans="2:16" ht="12.5">
      <c r="B115" s="160" t="str">
        <f t="shared" si="22"/>
        <v/>
      </c>
      <c r="C115" s="470">
        <f>IF(D93="","-",+C114+1)</f>
        <v>2033</v>
      </c>
      <c r="D115" s="345">
        <f>IF(F114+SUM(E$99:E114)=D$92,F114,D$92-SUM(E$99:E114))</f>
        <v>802859.91000000038</v>
      </c>
      <c r="E115" s="482">
        <f t="shared" si="25"/>
        <v>35236</v>
      </c>
      <c r="F115" s="483">
        <f t="shared" si="26"/>
        <v>767623.91000000038</v>
      </c>
      <c r="G115" s="483">
        <f t="shared" si="27"/>
        <v>785241.91000000038</v>
      </c>
      <c r="H115" s="484">
        <f t="shared" si="28"/>
        <v>124931.86931493896</v>
      </c>
      <c r="I115" s="540">
        <f t="shared" si="29"/>
        <v>124931.86931493896</v>
      </c>
      <c r="J115" s="476">
        <f t="shared" si="18"/>
        <v>0</v>
      </c>
      <c r="K115" s="476"/>
      <c r="L115" s="485"/>
      <c r="M115" s="476">
        <f t="shared" si="19"/>
        <v>0</v>
      </c>
      <c r="N115" s="485"/>
      <c r="O115" s="476">
        <f t="shared" si="20"/>
        <v>0</v>
      </c>
      <c r="P115" s="476">
        <f t="shared" si="21"/>
        <v>0</v>
      </c>
    </row>
    <row r="116" spans="2:16" ht="12.5">
      <c r="B116" s="160" t="str">
        <f t="shared" si="22"/>
        <v/>
      </c>
      <c r="C116" s="470">
        <f>IF(D93="","-",+C115+1)</f>
        <v>2034</v>
      </c>
      <c r="D116" s="345">
        <f>IF(F115+SUM(E$99:E115)=D$92,F115,D$92-SUM(E$99:E115))</f>
        <v>767623.91000000038</v>
      </c>
      <c r="E116" s="482">
        <f t="shared" si="25"/>
        <v>35236</v>
      </c>
      <c r="F116" s="483">
        <f t="shared" si="26"/>
        <v>732387.91000000038</v>
      </c>
      <c r="G116" s="483">
        <f t="shared" si="27"/>
        <v>750005.91000000038</v>
      </c>
      <c r="H116" s="484">
        <f t="shared" si="28"/>
        <v>120906.96487347686</v>
      </c>
      <c r="I116" s="540">
        <f t="shared" si="29"/>
        <v>120906.96487347686</v>
      </c>
      <c r="J116" s="476">
        <f t="shared" si="18"/>
        <v>0</v>
      </c>
      <c r="K116" s="476"/>
      <c r="L116" s="485"/>
      <c r="M116" s="476">
        <f t="shared" si="19"/>
        <v>0</v>
      </c>
      <c r="N116" s="485"/>
      <c r="O116" s="476">
        <f t="shared" si="20"/>
        <v>0</v>
      </c>
      <c r="P116" s="476">
        <f t="shared" si="21"/>
        <v>0</v>
      </c>
    </row>
    <row r="117" spans="2:16" ht="12.5">
      <c r="B117" s="160" t="str">
        <f t="shared" si="22"/>
        <v/>
      </c>
      <c r="C117" s="470">
        <f>IF(D93="","-",+C116+1)</f>
        <v>2035</v>
      </c>
      <c r="D117" s="345">
        <f>IF(F116+SUM(E$99:E116)=D$92,F116,D$92-SUM(E$99:E116))</f>
        <v>732387.91000000038</v>
      </c>
      <c r="E117" s="482">
        <f t="shared" si="25"/>
        <v>35236</v>
      </c>
      <c r="F117" s="483">
        <f t="shared" si="26"/>
        <v>697151.91000000038</v>
      </c>
      <c r="G117" s="483">
        <f t="shared" si="27"/>
        <v>714769.91000000038</v>
      </c>
      <c r="H117" s="484">
        <f t="shared" si="28"/>
        <v>116882.06043201475</v>
      </c>
      <c r="I117" s="540">
        <f t="shared" si="29"/>
        <v>116882.06043201475</v>
      </c>
      <c r="J117" s="476">
        <f t="shared" si="18"/>
        <v>0</v>
      </c>
      <c r="K117" s="476"/>
      <c r="L117" s="485"/>
      <c r="M117" s="476">
        <f t="shared" si="19"/>
        <v>0</v>
      </c>
      <c r="N117" s="485"/>
      <c r="O117" s="476">
        <f t="shared" si="20"/>
        <v>0</v>
      </c>
      <c r="P117" s="476">
        <f t="shared" si="21"/>
        <v>0</v>
      </c>
    </row>
    <row r="118" spans="2:16" ht="12.5">
      <c r="B118" s="160" t="str">
        <f t="shared" si="22"/>
        <v/>
      </c>
      <c r="C118" s="470">
        <f>IF(D93="","-",+C117+1)</f>
        <v>2036</v>
      </c>
      <c r="D118" s="345">
        <f>IF(F117+SUM(E$99:E117)=D$92,F117,D$92-SUM(E$99:E117))</f>
        <v>697151.91000000038</v>
      </c>
      <c r="E118" s="482">
        <f t="shared" si="25"/>
        <v>35236</v>
      </c>
      <c r="F118" s="483">
        <f t="shared" si="26"/>
        <v>661915.91000000038</v>
      </c>
      <c r="G118" s="483">
        <f t="shared" si="27"/>
        <v>679533.91000000038</v>
      </c>
      <c r="H118" s="484">
        <f t="shared" si="28"/>
        <v>112857.15599055264</v>
      </c>
      <c r="I118" s="540">
        <f t="shared" si="29"/>
        <v>112857.15599055264</v>
      </c>
      <c r="J118" s="476">
        <f t="shared" si="18"/>
        <v>0</v>
      </c>
      <c r="K118" s="476"/>
      <c r="L118" s="485"/>
      <c r="M118" s="476">
        <f t="shared" si="19"/>
        <v>0</v>
      </c>
      <c r="N118" s="485"/>
      <c r="O118" s="476">
        <f t="shared" si="20"/>
        <v>0</v>
      </c>
      <c r="P118" s="476">
        <f t="shared" si="21"/>
        <v>0</v>
      </c>
    </row>
    <row r="119" spans="2:16" ht="12.5">
      <c r="B119" s="160" t="str">
        <f t="shared" si="22"/>
        <v/>
      </c>
      <c r="C119" s="470">
        <f>IF(D93="","-",+C118+1)</f>
        <v>2037</v>
      </c>
      <c r="D119" s="345">
        <f>IF(F118+SUM(E$99:E118)=D$92,F118,D$92-SUM(E$99:E118))</f>
        <v>661915.91000000038</v>
      </c>
      <c r="E119" s="482">
        <f t="shared" si="25"/>
        <v>35236</v>
      </c>
      <c r="F119" s="483">
        <f t="shared" si="26"/>
        <v>626679.91000000038</v>
      </c>
      <c r="G119" s="483">
        <f t="shared" si="27"/>
        <v>644297.91000000038</v>
      </c>
      <c r="H119" s="484">
        <f t="shared" si="28"/>
        <v>108832.25154909054</v>
      </c>
      <c r="I119" s="540">
        <f t="shared" si="29"/>
        <v>108832.25154909054</v>
      </c>
      <c r="J119" s="476">
        <f t="shared" si="18"/>
        <v>0</v>
      </c>
      <c r="K119" s="476"/>
      <c r="L119" s="485"/>
      <c r="M119" s="476">
        <f t="shared" si="19"/>
        <v>0</v>
      </c>
      <c r="N119" s="485"/>
      <c r="O119" s="476">
        <f t="shared" si="20"/>
        <v>0</v>
      </c>
      <c r="P119" s="476">
        <f t="shared" si="21"/>
        <v>0</v>
      </c>
    </row>
    <row r="120" spans="2:16" ht="12.5">
      <c r="B120" s="160" t="str">
        <f t="shared" si="22"/>
        <v/>
      </c>
      <c r="C120" s="470">
        <f>IF(D93="","-",+C119+1)</f>
        <v>2038</v>
      </c>
      <c r="D120" s="345">
        <f>IF(F119+SUM(E$99:E119)=D$92,F119,D$92-SUM(E$99:E119))</f>
        <v>626679.91000000038</v>
      </c>
      <c r="E120" s="482">
        <f t="shared" si="25"/>
        <v>35236</v>
      </c>
      <c r="F120" s="483">
        <f t="shared" si="26"/>
        <v>591443.91000000038</v>
      </c>
      <c r="G120" s="483">
        <f t="shared" si="27"/>
        <v>609061.91000000038</v>
      </c>
      <c r="H120" s="484">
        <f t="shared" si="28"/>
        <v>104807.34710762843</v>
      </c>
      <c r="I120" s="540">
        <f t="shared" si="29"/>
        <v>104807.34710762843</v>
      </c>
      <c r="J120" s="476">
        <f t="shared" si="18"/>
        <v>0</v>
      </c>
      <c r="K120" s="476"/>
      <c r="L120" s="485"/>
      <c r="M120" s="476">
        <f t="shared" si="19"/>
        <v>0</v>
      </c>
      <c r="N120" s="485"/>
      <c r="O120" s="476">
        <f t="shared" si="20"/>
        <v>0</v>
      </c>
      <c r="P120" s="476">
        <f t="shared" si="21"/>
        <v>0</v>
      </c>
    </row>
    <row r="121" spans="2:16" ht="12.5">
      <c r="B121" s="160" t="str">
        <f t="shared" si="22"/>
        <v/>
      </c>
      <c r="C121" s="470">
        <f>IF(D93="","-",+C120+1)</f>
        <v>2039</v>
      </c>
      <c r="D121" s="345">
        <f>IF(F120+SUM(E$99:E120)=D$92,F120,D$92-SUM(E$99:E120))</f>
        <v>591443.91000000038</v>
      </c>
      <c r="E121" s="482">
        <f t="shared" si="25"/>
        <v>35236</v>
      </c>
      <c r="F121" s="483">
        <f t="shared" si="26"/>
        <v>556207.91000000038</v>
      </c>
      <c r="G121" s="483">
        <f t="shared" si="27"/>
        <v>573825.91000000038</v>
      </c>
      <c r="H121" s="484">
        <f t="shared" si="28"/>
        <v>100782.44266616633</v>
      </c>
      <c r="I121" s="540">
        <f t="shared" si="29"/>
        <v>100782.44266616633</v>
      </c>
      <c r="J121" s="476">
        <f t="shared" si="18"/>
        <v>0</v>
      </c>
      <c r="K121" s="476"/>
      <c r="L121" s="485"/>
      <c r="M121" s="476">
        <f t="shared" si="19"/>
        <v>0</v>
      </c>
      <c r="N121" s="485"/>
      <c r="O121" s="476">
        <f t="shared" si="20"/>
        <v>0</v>
      </c>
      <c r="P121" s="476">
        <f t="shared" si="21"/>
        <v>0</v>
      </c>
    </row>
    <row r="122" spans="2:16" ht="12.5">
      <c r="B122" s="160" t="str">
        <f t="shared" si="22"/>
        <v/>
      </c>
      <c r="C122" s="470">
        <f>IF(D93="","-",+C121+1)</f>
        <v>2040</v>
      </c>
      <c r="D122" s="345">
        <f>IF(F121+SUM(E$99:E121)=D$92,F121,D$92-SUM(E$99:E121))</f>
        <v>556207.91000000038</v>
      </c>
      <c r="E122" s="482">
        <f t="shared" si="25"/>
        <v>35236</v>
      </c>
      <c r="F122" s="483">
        <f t="shared" si="26"/>
        <v>520971.91000000038</v>
      </c>
      <c r="G122" s="483">
        <f t="shared" si="27"/>
        <v>538589.91000000038</v>
      </c>
      <c r="H122" s="484">
        <f t="shared" si="28"/>
        <v>96757.538224704214</v>
      </c>
      <c r="I122" s="540">
        <f t="shared" si="29"/>
        <v>96757.538224704214</v>
      </c>
      <c r="J122" s="476">
        <f t="shared" si="18"/>
        <v>0</v>
      </c>
      <c r="K122" s="476"/>
      <c r="L122" s="485"/>
      <c r="M122" s="476">
        <f t="shared" si="19"/>
        <v>0</v>
      </c>
      <c r="N122" s="485"/>
      <c r="O122" s="476">
        <f t="shared" si="20"/>
        <v>0</v>
      </c>
      <c r="P122" s="476">
        <f t="shared" si="21"/>
        <v>0</v>
      </c>
    </row>
    <row r="123" spans="2:16" ht="12.5">
      <c r="B123" s="160" t="str">
        <f t="shared" si="22"/>
        <v/>
      </c>
      <c r="C123" s="470">
        <f>IF(D93="","-",+C122+1)</f>
        <v>2041</v>
      </c>
      <c r="D123" s="345">
        <f>IF(F122+SUM(E$99:E122)=D$92,F122,D$92-SUM(E$99:E122))</f>
        <v>520971.91000000038</v>
      </c>
      <c r="E123" s="482">
        <f t="shared" si="25"/>
        <v>35236</v>
      </c>
      <c r="F123" s="483">
        <f t="shared" si="26"/>
        <v>485735.91000000038</v>
      </c>
      <c r="G123" s="483">
        <f t="shared" si="27"/>
        <v>503353.91000000038</v>
      </c>
      <c r="H123" s="484">
        <f t="shared" si="28"/>
        <v>92732.633783242112</v>
      </c>
      <c r="I123" s="540">
        <f t="shared" si="29"/>
        <v>92732.633783242112</v>
      </c>
      <c r="J123" s="476">
        <f t="shared" si="18"/>
        <v>0</v>
      </c>
      <c r="K123" s="476"/>
      <c r="L123" s="485"/>
      <c r="M123" s="476">
        <f t="shared" si="19"/>
        <v>0</v>
      </c>
      <c r="N123" s="485"/>
      <c r="O123" s="476">
        <f t="shared" si="20"/>
        <v>0</v>
      </c>
      <c r="P123" s="476">
        <f t="shared" si="21"/>
        <v>0</v>
      </c>
    </row>
    <row r="124" spans="2:16" ht="12.5">
      <c r="B124" s="160" t="str">
        <f t="shared" si="22"/>
        <v/>
      </c>
      <c r="C124" s="470">
        <f>IF(D93="","-",+C123+1)</f>
        <v>2042</v>
      </c>
      <c r="D124" s="345">
        <f>IF(F123+SUM(E$99:E123)=D$92,F123,D$92-SUM(E$99:E123))</f>
        <v>485735.91000000038</v>
      </c>
      <c r="E124" s="482">
        <f t="shared" si="25"/>
        <v>35236</v>
      </c>
      <c r="F124" s="483">
        <f t="shared" si="26"/>
        <v>450499.91000000038</v>
      </c>
      <c r="G124" s="483">
        <f t="shared" si="27"/>
        <v>468117.91000000038</v>
      </c>
      <c r="H124" s="484">
        <f t="shared" si="28"/>
        <v>88707.72934178001</v>
      </c>
      <c r="I124" s="540">
        <f t="shared" si="29"/>
        <v>88707.72934178001</v>
      </c>
      <c r="J124" s="476">
        <f t="shared" si="18"/>
        <v>0</v>
      </c>
      <c r="K124" s="476"/>
      <c r="L124" s="485"/>
      <c r="M124" s="476">
        <f t="shared" si="19"/>
        <v>0</v>
      </c>
      <c r="N124" s="485"/>
      <c r="O124" s="476">
        <f t="shared" si="20"/>
        <v>0</v>
      </c>
      <c r="P124" s="476">
        <f t="shared" si="21"/>
        <v>0</v>
      </c>
    </row>
    <row r="125" spans="2:16" ht="12.5">
      <c r="B125" s="160" t="str">
        <f t="shared" si="22"/>
        <v/>
      </c>
      <c r="C125" s="470">
        <f>IF(D93="","-",+C124+1)</f>
        <v>2043</v>
      </c>
      <c r="D125" s="345">
        <f>IF(F124+SUM(E$99:E124)=D$92,F124,D$92-SUM(E$99:E124))</f>
        <v>450499.91000000038</v>
      </c>
      <c r="E125" s="482">
        <f t="shared" si="25"/>
        <v>35236</v>
      </c>
      <c r="F125" s="483">
        <f t="shared" si="26"/>
        <v>415263.91000000038</v>
      </c>
      <c r="G125" s="483">
        <f t="shared" si="27"/>
        <v>432881.91000000038</v>
      </c>
      <c r="H125" s="484">
        <f t="shared" si="28"/>
        <v>84682.824900317908</v>
      </c>
      <c r="I125" s="540">
        <f t="shared" si="29"/>
        <v>84682.824900317908</v>
      </c>
      <c r="J125" s="476">
        <f t="shared" si="18"/>
        <v>0</v>
      </c>
      <c r="K125" s="476"/>
      <c r="L125" s="485"/>
      <c r="M125" s="476">
        <f t="shared" si="19"/>
        <v>0</v>
      </c>
      <c r="N125" s="485"/>
      <c r="O125" s="476">
        <f t="shared" si="20"/>
        <v>0</v>
      </c>
      <c r="P125" s="476">
        <f t="shared" si="21"/>
        <v>0</v>
      </c>
    </row>
    <row r="126" spans="2:16" ht="12.5">
      <c r="B126" s="160" t="str">
        <f t="shared" si="22"/>
        <v/>
      </c>
      <c r="C126" s="470">
        <f>IF(D93="","-",+C125+1)</f>
        <v>2044</v>
      </c>
      <c r="D126" s="345">
        <f>IF(F125+SUM(E$99:E125)=D$92,F125,D$92-SUM(E$99:E125))</f>
        <v>415263.91000000038</v>
      </c>
      <c r="E126" s="482">
        <f t="shared" si="25"/>
        <v>35236</v>
      </c>
      <c r="F126" s="483">
        <f t="shared" si="26"/>
        <v>380027.91000000038</v>
      </c>
      <c r="G126" s="483">
        <f t="shared" si="27"/>
        <v>397645.91000000038</v>
      </c>
      <c r="H126" s="484">
        <f t="shared" si="28"/>
        <v>80657.920458855791</v>
      </c>
      <c r="I126" s="540">
        <f t="shared" si="29"/>
        <v>80657.920458855791</v>
      </c>
      <c r="J126" s="476">
        <f t="shared" si="18"/>
        <v>0</v>
      </c>
      <c r="K126" s="476"/>
      <c r="L126" s="485"/>
      <c r="M126" s="476">
        <f t="shared" si="19"/>
        <v>0</v>
      </c>
      <c r="N126" s="485"/>
      <c r="O126" s="476">
        <f t="shared" si="20"/>
        <v>0</v>
      </c>
      <c r="P126" s="476">
        <f t="shared" si="21"/>
        <v>0</v>
      </c>
    </row>
    <row r="127" spans="2:16" ht="12.5">
      <c r="B127" s="160" t="str">
        <f t="shared" si="22"/>
        <v/>
      </c>
      <c r="C127" s="470">
        <f>IF(D93="","-",+C126+1)</f>
        <v>2045</v>
      </c>
      <c r="D127" s="345">
        <f>IF(F126+SUM(E$99:E126)=D$92,F126,D$92-SUM(E$99:E126))</f>
        <v>380027.91000000038</v>
      </c>
      <c r="E127" s="482">
        <f t="shared" si="25"/>
        <v>35236</v>
      </c>
      <c r="F127" s="483">
        <f t="shared" si="26"/>
        <v>344791.91000000038</v>
      </c>
      <c r="G127" s="483">
        <f t="shared" si="27"/>
        <v>362409.91000000038</v>
      </c>
      <c r="H127" s="484">
        <f t="shared" si="28"/>
        <v>76633.016017393675</v>
      </c>
      <c r="I127" s="540">
        <f t="shared" si="29"/>
        <v>76633.016017393675</v>
      </c>
      <c r="J127" s="476">
        <f t="shared" si="18"/>
        <v>0</v>
      </c>
      <c r="K127" s="476"/>
      <c r="L127" s="485"/>
      <c r="M127" s="476">
        <f t="shared" si="19"/>
        <v>0</v>
      </c>
      <c r="N127" s="485"/>
      <c r="O127" s="476">
        <f t="shared" si="20"/>
        <v>0</v>
      </c>
      <c r="P127" s="476">
        <f t="shared" si="21"/>
        <v>0</v>
      </c>
    </row>
    <row r="128" spans="2:16" ht="12.5">
      <c r="B128" s="160" t="str">
        <f t="shared" si="22"/>
        <v/>
      </c>
      <c r="C128" s="470">
        <f>IF(D93="","-",+C127+1)</f>
        <v>2046</v>
      </c>
      <c r="D128" s="345">
        <f>IF(F127+SUM(E$99:E127)=D$92,F127,D$92-SUM(E$99:E127))</f>
        <v>344791.91000000038</v>
      </c>
      <c r="E128" s="482">
        <f t="shared" si="25"/>
        <v>35236</v>
      </c>
      <c r="F128" s="483">
        <f t="shared" si="26"/>
        <v>309555.91000000038</v>
      </c>
      <c r="G128" s="483">
        <f t="shared" si="27"/>
        <v>327173.91000000038</v>
      </c>
      <c r="H128" s="484">
        <f t="shared" si="28"/>
        <v>72608.111575931573</v>
      </c>
      <c r="I128" s="540">
        <f t="shared" si="29"/>
        <v>72608.111575931573</v>
      </c>
      <c r="J128" s="476">
        <f t="shared" si="18"/>
        <v>0</v>
      </c>
      <c r="K128" s="476"/>
      <c r="L128" s="485"/>
      <c r="M128" s="476">
        <f t="shared" si="19"/>
        <v>0</v>
      </c>
      <c r="N128" s="485"/>
      <c r="O128" s="476">
        <f t="shared" si="20"/>
        <v>0</v>
      </c>
      <c r="P128" s="476">
        <f t="shared" si="21"/>
        <v>0</v>
      </c>
    </row>
    <row r="129" spans="2:16" ht="12.5">
      <c r="B129" s="160" t="str">
        <f t="shared" si="22"/>
        <v/>
      </c>
      <c r="C129" s="470">
        <f>IF(D93="","-",+C128+1)</f>
        <v>2047</v>
      </c>
      <c r="D129" s="345">
        <f>IF(F128+SUM(E$99:E128)=D$92,F128,D$92-SUM(E$99:E128))</f>
        <v>309555.91000000038</v>
      </c>
      <c r="E129" s="482">
        <f t="shared" si="25"/>
        <v>35236</v>
      </c>
      <c r="F129" s="483">
        <f t="shared" si="26"/>
        <v>274319.91000000038</v>
      </c>
      <c r="G129" s="483">
        <f t="shared" si="27"/>
        <v>291937.91000000038</v>
      </c>
      <c r="H129" s="484">
        <f t="shared" si="28"/>
        <v>68583.20713446947</v>
      </c>
      <c r="I129" s="540">
        <f t="shared" si="29"/>
        <v>68583.20713446947</v>
      </c>
      <c r="J129" s="476">
        <f t="shared" si="18"/>
        <v>0</v>
      </c>
      <c r="K129" s="476"/>
      <c r="L129" s="485"/>
      <c r="M129" s="476">
        <f t="shared" si="19"/>
        <v>0</v>
      </c>
      <c r="N129" s="485"/>
      <c r="O129" s="476">
        <f t="shared" si="20"/>
        <v>0</v>
      </c>
      <c r="P129" s="476">
        <f t="shared" si="21"/>
        <v>0</v>
      </c>
    </row>
    <row r="130" spans="2:16" ht="12.5">
      <c r="B130" s="160" t="str">
        <f t="shared" si="22"/>
        <v/>
      </c>
      <c r="C130" s="470">
        <f>IF(D93="","-",+C129+1)</f>
        <v>2048</v>
      </c>
      <c r="D130" s="345">
        <f>IF(F129+SUM(E$99:E129)=D$92,F129,D$92-SUM(E$99:E129))</f>
        <v>274319.91000000038</v>
      </c>
      <c r="E130" s="482">
        <f t="shared" si="25"/>
        <v>35236</v>
      </c>
      <c r="F130" s="483">
        <f t="shared" si="26"/>
        <v>239083.91000000038</v>
      </c>
      <c r="G130" s="483">
        <f t="shared" si="27"/>
        <v>256701.91000000038</v>
      </c>
      <c r="H130" s="484">
        <f t="shared" si="28"/>
        <v>64558.302693007368</v>
      </c>
      <c r="I130" s="540">
        <f t="shared" si="29"/>
        <v>64558.302693007368</v>
      </c>
      <c r="J130" s="476">
        <f t="shared" si="18"/>
        <v>0</v>
      </c>
      <c r="K130" s="476"/>
      <c r="L130" s="485"/>
      <c r="M130" s="476">
        <f t="shared" si="19"/>
        <v>0</v>
      </c>
      <c r="N130" s="485"/>
      <c r="O130" s="476">
        <f t="shared" si="20"/>
        <v>0</v>
      </c>
      <c r="P130" s="476">
        <f t="shared" si="21"/>
        <v>0</v>
      </c>
    </row>
    <row r="131" spans="2:16" ht="12.5">
      <c r="B131" s="160" t="str">
        <f t="shared" si="22"/>
        <v/>
      </c>
      <c r="C131" s="470">
        <f>IF(D93="","-",+C130+1)</f>
        <v>2049</v>
      </c>
      <c r="D131" s="345">
        <f>IF(F130+SUM(E$99:E130)=D$92,F130,D$92-SUM(E$99:E130))</f>
        <v>239083.91000000038</v>
      </c>
      <c r="E131" s="482">
        <f t="shared" si="25"/>
        <v>35236</v>
      </c>
      <c r="F131" s="483">
        <f t="shared" si="26"/>
        <v>203847.91000000038</v>
      </c>
      <c r="G131" s="483">
        <f t="shared" si="27"/>
        <v>221465.91000000038</v>
      </c>
      <c r="H131" s="484">
        <f t="shared" si="28"/>
        <v>60533.398251545259</v>
      </c>
      <c r="I131" s="540">
        <f t="shared" si="29"/>
        <v>60533.398251545259</v>
      </c>
      <c r="J131" s="476">
        <f t="shared" ref="J131:J154" si="30">+I541-H541</f>
        <v>0</v>
      </c>
      <c r="K131" s="476"/>
      <c r="L131" s="485"/>
      <c r="M131" s="476">
        <f t="shared" ref="M131:M154" si="31">IF(L541&lt;&gt;0,+H541-L541,0)</f>
        <v>0</v>
      </c>
      <c r="N131" s="485"/>
      <c r="O131" s="476">
        <f t="shared" ref="O131:O154" si="32">IF(N541&lt;&gt;0,+I541-N541,0)</f>
        <v>0</v>
      </c>
      <c r="P131" s="476">
        <f t="shared" ref="P131:P154" si="33">+O541-M541</f>
        <v>0</v>
      </c>
    </row>
    <row r="132" spans="2:16" ht="12.5">
      <c r="B132" s="160" t="str">
        <f t="shared" si="22"/>
        <v/>
      </c>
      <c r="C132" s="470">
        <f>IF(D93="","-",+C131+1)</f>
        <v>2050</v>
      </c>
      <c r="D132" s="345">
        <f>IF(F131+SUM(E$99:E131)=D$92,F131,D$92-SUM(E$99:E131))</f>
        <v>203847.91000000038</v>
      </c>
      <c r="E132" s="482">
        <f t="shared" si="25"/>
        <v>35236</v>
      </c>
      <c r="F132" s="483">
        <f t="shared" si="26"/>
        <v>168611.91000000038</v>
      </c>
      <c r="G132" s="483">
        <f t="shared" si="27"/>
        <v>186229.91000000038</v>
      </c>
      <c r="H132" s="484">
        <f t="shared" si="28"/>
        <v>56508.49381008315</v>
      </c>
      <c r="I132" s="540">
        <f t="shared" si="29"/>
        <v>56508.49381008315</v>
      </c>
      <c r="J132" s="476">
        <f t="shared" si="30"/>
        <v>0</v>
      </c>
      <c r="K132" s="476"/>
      <c r="L132" s="485"/>
      <c r="M132" s="476">
        <f t="shared" si="31"/>
        <v>0</v>
      </c>
      <c r="N132" s="485"/>
      <c r="O132" s="476">
        <f t="shared" si="32"/>
        <v>0</v>
      </c>
      <c r="P132" s="476">
        <f t="shared" si="33"/>
        <v>0</v>
      </c>
    </row>
    <row r="133" spans="2:16" ht="12.5">
      <c r="B133" s="160" t="str">
        <f t="shared" si="22"/>
        <v/>
      </c>
      <c r="C133" s="470">
        <f>IF(D93="","-",+C132+1)</f>
        <v>2051</v>
      </c>
      <c r="D133" s="345">
        <f>IF(F132+SUM(E$99:E132)=D$92,F132,D$92-SUM(E$99:E132))</f>
        <v>168611.91000000038</v>
      </c>
      <c r="E133" s="482">
        <f t="shared" si="25"/>
        <v>35236</v>
      </c>
      <c r="F133" s="483">
        <f t="shared" si="26"/>
        <v>133375.91000000038</v>
      </c>
      <c r="G133" s="483">
        <f t="shared" si="27"/>
        <v>150993.91000000038</v>
      </c>
      <c r="H133" s="484">
        <f t="shared" si="28"/>
        <v>52483.589368621047</v>
      </c>
      <c r="I133" s="540">
        <f t="shared" si="29"/>
        <v>52483.589368621047</v>
      </c>
      <c r="J133" s="476">
        <f t="shared" si="30"/>
        <v>0</v>
      </c>
      <c r="K133" s="476"/>
      <c r="L133" s="485"/>
      <c r="M133" s="476">
        <f t="shared" si="31"/>
        <v>0</v>
      </c>
      <c r="N133" s="485"/>
      <c r="O133" s="476">
        <f t="shared" si="32"/>
        <v>0</v>
      </c>
      <c r="P133" s="476">
        <f t="shared" si="33"/>
        <v>0</v>
      </c>
    </row>
    <row r="134" spans="2:16" ht="12.5">
      <c r="B134" s="160" t="str">
        <f t="shared" si="22"/>
        <v/>
      </c>
      <c r="C134" s="470">
        <f>IF(D93="","-",+C133+1)</f>
        <v>2052</v>
      </c>
      <c r="D134" s="345">
        <f>IF(F133+SUM(E$99:E133)=D$92,F133,D$92-SUM(E$99:E133))</f>
        <v>133375.91000000038</v>
      </c>
      <c r="E134" s="482">
        <f t="shared" si="25"/>
        <v>35236</v>
      </c>
      <c r="F134" s="483">
        <f t="shared" si="26"/>
        <v>98139.910000000382</v>
      </c>
      <c r="G134" s="483">
        <f t="shared" si="27"/>
        <v>115757.91000000038</v>
      </c>
      <c r="H134" s="484">
        <f t="shared" si="28"/>
        <v>48458.684927158938</v>
      </c>
      <c r="I134" s="540">
        <f t="shared" si="29"/>
        <v>48458.684927158938</v>
      </c>
      <c r="J134" s="476">
        <f t="shared" si="30"/>
        <v>0</v>
      </c>
      <c r="K134" s="476"/>
      <c r="L134" s="485"/>
      <c r="M134" s="476">
        <f t="shared" si="31"/>
        <v>0</v>
      </c>
      <c r="N134" s="485"/>
      <c r="O134" s="476">
        <f t="shared" si="32"/>
        <v>0</v>
      </c>
      <c r="P134" s="476">
        <f t="shared" si="33"/>
        <v>0</v>
      </c>
    </row>
    <row r="135" spans="2:16" ht="12.5">
      <c r="B135" s="160" t="str">
        <f t="shared" si="22"/>
        <v/>
      </c>
      <c r="C135" s="470">
        <f>IF(D93="","-",+C134+1)</f>
        <v>2053</v>
      </c>
      <c r="D135" s="345">
        <f>IF(F134+SUM(E$99:E134)=D$92,F134,D$92-SUM(E$99:E134))</f>
        <v>98139.910000000382</v>
      </c>
      <c r="E135" s="482">
        <f t="shared" si="25"/>
        <v>35236</v>
      </c>
      <c r="F135" s="483">
        <f t="shared" si="26"/>
        <v>62903.910000000382</v>
      </c>
      <c r="G135" s="483">
        <f t="shared" si="27"/>
        <v>80521.910000000382</v>
      </c>
      <c r="H135" s="484">
        <f t="shared" si="28"/>
        <v>44433.780485696829</v>
      </c>
      <c r="I135" s="540">
        <f t="shared" si="29"/>
        <v>44433.780485696829</v>
      </c>
      <c r="J135" s="476">
        <f t="shared" si="30"/>
        <v>0</v>
      </c>
      <c r="K135" s="476"/>
      <c r="L135" s="485"/>
      <c r="M135" s="476">
        <f t="shared" si="31"/>
        <v>0</v>
      </c>
      <c r="N135" s="485"/>
      <c r="O135" s="476">
        <f t="shared" si="32"/>
        <v>0</v>
      </c>
      <c r="P135" s="476">
        <f t="shared" si="33"/>
        <v>0</v>
      </c>
    </row>
    <row r="136" spans="2:16" ht="12.5">
      <c r="B136" s="160" t="str">
        <f t="shared" si="22"/>
        <v/>
      </c>
      <c r="C136" s="470">
        <f>IF(D93="","-",+C135+1)</f>
        <v>2054</v>
      </c>
      <c r="D136" s="345">
        <f>IF(F135+SUM(E$99:E135)=D$92,F135,D$92-SUM(E$99:E135))</f>
        <v>62903.910000000382</v>
      </c>
      <c r="E136" s="482">
        <f t="shared" si="25"/>
        <v>35236</v>
      </c>
      <c r="F136" s="483">
        <f t="shared" si="26"/>
        <v>27667.910000000382</v>
      </c>
      <c r="G136" s="483">
        <f t="shared" si="27"/>
        <v>45285.910000000382</v>
      </c>
      <c r="H136" s="484">
        <f t="shared" si="28"/>
        <v>40408.876044234727</v>
      </c>
      <c r="I136" s="540">
        <f t="shared" si="29"/>
        <v>40408.876044234727</v>
      </c>
      <c r="J136" s="476">
        <f t="shared" si="30"/>
        <v>0</v>
      </c>
      <c r="K136" s="476"/>
      <c r="L136" s="485"/>
      <c r="M136" s="476">
        <f t="shared" si="31"/>
        <v>0</v>
      </c>
      <c r="N136" s="485"/>
      <c r="O136" s="476">
        <f t="shared" si="32"/>
        <v>0</v>
      </c>
      <c r="P136" s="476">
        <f t="shared" si="33"/>
        <v>0</v>
      </c>
    </row>
    <row r="137" spans="2:16" ht="12.5">
      <c r="B137" s="160" t="str">
        <f t="shared" si="22"/>
        <v/>
      </c>
      <c r="C137" s="470">
        <f>IF(D93="","-",+C136+1)</f>
        <v>2055</v>
      </c>
      <c r="D137" s="345">
        <f>IF(F136+SUM(E$99:E136)=D$92,F136,D$92-SUM(E$99:E136))</f>
        <v>27667.910000000382</v>
      </c>
      <c r="E137" s="482">
        <f t="shared" si="25"/>
        <v>27667.910000000382</v>
      </c>
      <c r="F137" s="483">
        <f t="shared" si="26"/>
        <v>0</v>
      </c>
      <c r="G137" s="483">
        <f t="shared" si="27"/>
        <v>13833.955000000191</v>
      </c>
      <c r="H137" s="484">
        <f t="shared" si="28"/>
        <v>29248.121911752216</v>
      </c>
      <c r="I137" s="540">
        <f t="shared" si="29"/>
        <v>29248.121911752216</v>
      </c>
      <c r="J137" s="476">
        <f t="shared" si="30"/>
        <v>0</v>
      </c>
      <c r="K137" s="476"/>
      <c r="L137" s="485"/>
      <c r="M137" s="476">
        <f t="shared" si="31"/>
        <v>0</v>
      </c>
      <c r="N137" s="485"/>
      <c r="O137" s="476">
        <f t="shared" si="32"/>
        <v>0</v>
      </c>
      <c r="P137" s="476">
        <f t="shared" si="33"/>
        <v>0</v>
      </c>
    </row>
    <row r="138" spans="2:16" ht="12.5">
      <c r="B138" s="160" t="str">
        <f t="shared" si="22"/>
        <v/>
      </c>
      <c r="C138" s="470">
        <f>IF(D93="","-",+C137+1)</f>
        <v>2056</v>
      </c>
      <c r="D138" s="345">
        <f>IF(F137+SUM(E$99:E137)=D$92,F137,D$92-SUM(E$99:E137))</f>
        <v>0</v>
      </c>
      <c r="E138" s="482">
        <f t="shared" si="25"/>
        <v>0</v>
      </c>
      <c r="F138" s="483">
        <f t="shared" si="26"/>
        <v>0</v>
      </c>
      <c r="G138" s="483">
        <f t="shared" si="27"/>
        <v>0</v>
      </c>
      <c r="H138" s="484">
        <f t="shared" si="28"/>
        <v>0</v>
      </c>
      <c r="I138" s="540">
        <f t="shared" si="29"/>
        <v>0</v>
      </c>
      <c r="J138" s="476">
        <f t="shared" si="30"/>
        <v>0</v>
      </c>
      <c r="K138" s="476"/>
      <c r="L138" s="485"/>
      <c r="M138" s="476">
        <f t="shared" si="31"/>
        <v>0</v>
      </c>
      <c r="N138" s="485"/>
      <c r="O138" s="476">
        <f t="shared" si="32"/>
        <v>0</v>
      </c>
      <c r="P138" s="476">
        <f t="shared" si="33"/>
        <v>0</v>
      </c>
    </row>
    <row r="139" spans="2:16" ht="12.5">
      <c r="B139" s="160" t="str">
        <f t="shared" si="22"/>
        <v/>
      </c>
      <c r="C139" s="470">
        <f>IF(D93="","-",+C138+1)</f>
        <v>2057</v>
      </c>
      <c r="D139" s="345">
        <f>IF(F138+SUM(E$99:E138)=D$92,F138,D$92-SUM(E$99:E138))</f>
        <v>0</v>
      </c>
      <c r="E139" s="482">
        <f t="shared" si="25"/>
        <v>0</v>
      </c>
      <c r="F139" s="483">
        <f t="shared" si="26"/>
        <v>0</v>
      </c>
      <c r="G139" s="483">
        <f t="shared" si="27"/>
        <v>0</v>
      </c>
      <c r="H139" s="484">
        <f t="shared" si="28"/>
        <v>0</v>
      </c>
      <c r="I139" s="540">
        <f t="shared" si="29"/>
        <v>0</v>
      </c>
      <c r="J139" s="476">
        <f t="shared" si="30"/>
        <v>0</v>
      </c>
      <c r="K139" s="476"/>
      <c r="L139" s="485"/>
      <c r="M139" s="476">
        <f t="shared" si="31"/>
        <v>0</v>
      </c>
      <c r="N139" s="485"/>
      <c r="O139" s="476">
        <f t="shared" si="32"/>
        <v>0</v>
      </c>
      <c r="P139" s="476">
        <f t="shared" si="33"/>
        <v>0</v>
      </c>
    </row>
    <row r="140" spans="2:16" ht="12.5">
      <c r="B140" s="160" t="str">
        <f t="shared" si="22"/>
        <v/>
      </c>
      <c r="C140" s="470">
        <f>IF(D93="","-",+C139+1)</f>
        <v>2058</v>
      </c>
      <c r="D140" s="345">
        <f>IF(F139+SUM(E$99:E139)=D$92,F139,D$92-SUM(E$99:E139))</f>
        <v>0</v>
      </c>
      <c r="E140" s="482">
        <f t="shared" si="25"/>
        <v>0</v>
      </c>
      <c r="F140" s="483">
        <f t="shared" si="26"/>
        <v>0</v>
      </c>
      <c r="G140" s="483">
        <f t="shared" si="27"/>
        <v>0</v>
      </c>
      <c r="H140" s="484">
        <f t="shared" si="28"/>
        <v>0</v>
      </c>
      <c r="I140" s="540">
        <f t="shared" si="29"/>
        <v>0</v>
      </c>
      <c r="J140" s="476">
        <f t="shared" si="30"/>
        <v>0</v>
      </c>
      <c r="K140" s="476"/>
      <c r="L140" s="485"/>
      <c r="M140" s="476">
        <f t="shared" si="31"/>
        <v>0</v>
      </c>
      <c r="N140" s="485"/>
      <c r="O140" s="476">
        <f t="shared" si="32"/>
        <v>0</v>
      </c>
      <c r="P140" s="476">
        <f t="shared" si="33"/>
        <v>0</v>
      </c>
    </row>
    <row r="141" spans="2:16" ht="12.5">
      <c r="B141" s="160" t="str">
        <f t="shared" si="22"/>
        <v/>
      </c>
      <c r="C141" s="470">
        <f>IF(D93="","-",+C140+1)</f>
        <v>2059</v>
      </c>
      <c r="D141" s="345">
        <f>IF(F140+SUM(E$99:E140)=D$92,F140,D$92-SUM(E$99:E140))</f>
        <v>0</v>
      </c>
      <c r="E141" s="482">
        <f t="shared" si="25"/>
        <v>0</v>
      </c>
      <c r="F141" s="483">
        <f t="shared" si="26"/>
        <v>0</v>
      </c>
      <c r="G141" s="483">
        <f t="shared" si="27"/>
        <v>0</v>
      </c>
      <c r="H141" s="484">
        <f t="shared" si="28"/>
        <v>0</v>
      </c>
      <c r="I141" s="540">
        <f t="shared" si="29"/>
        <v>0</v>
      </c>
      <c r="J141" s="476">
        <f t="shared" si="30"/>
        <v>0</v>
      </c>
      <c r="K141" s="476"/>
      <c r="L141" s="485"/>
      <c r="M141" s="476">
        <f t="shared" si="31"/>
        <v>0</v>
      </c>
      <c r="N141" s="485"/>
      <c r="O141" s="476">
        <f t="shared" si="32"/>
        <v>0</v>
      </c>
      <c r="P141" s="476">
        <f t="shared" si="33"/>
        <v>0</v>
      </c>
    </row>
    <row r="142" spans="2:16" ht="12.5">
      <c r="B142" s="160" t="str">
        <f t="shared" si="22"/>
        <v/>
      </c>
      <c r="C142" s="470">
        <f>IF(D93="","-",+C141+1)</f>
        <v>2060</v>
      </c>
      <c r="D142" s="345">
        <f>IF(F141+SUM(E$99:E141)=D$92,F141,D$92-SUM(E$99:E141))</f>
        <v>0</v>
      </c>
      <c r="E142" s="482">
        <f t="shared" si="25"/>
        <v>0</v>
      </c>
      <c r="F142" s="483">
        <f t="shared" si="26"/>
        <v>0</v>
      </c>
      <c r="G142" s="483">
        <f t="shared" si="27"/>
        <v>0</v>
      </c>
      <c r="H142" s="484">
        <f t="shared" si="28"/>
        <v>0</v>
      </c>
      <c r="I142" s="540">
        <f t="shared" si="29"/>
        <v>0</v>
      </c>
      <c r="J142" s="476">
        <f t="shared" si="30"/>
        <v>0</v>
      </c>
      <c r="K142" s="476"/>
      <c r="L142" s="485"/>
      <c r="M142" s="476">
        <f t="shared" si="31"/>
        <v>0</v>
      </c>
      <c r="N142" s="485"/>
      <c r="O142" s="476">
        <f t="shared" si="32"/>
        <v>0</v>
      </c>
      <c r="P142" s="476">
        <f t="shared" si="33"/>
        <v>0</v>
      </c>
    </row>
    <row r="143" spans="2:16" ht="12.5">
      <c r="B143" s="160" t="str">
        <f t="shared" si="22"/>
        <v/>
      </c>
      <c r="C143" s="470">
        <f>IF(D93="","-",+C142+1)</f>
        <v>2061</v>
      </c>
      <c r="D143" s="345">
        <f>IF(F142+SUM(E$99:E142)=D$92,F142,D$92-SUM(E$99:E142))</f>
        <v>0</v>
      </c>
      <c r="E143" s="482">
        <f t="shared" si="25"/>
        <v>0</v>
      </c>
      <c r="F143" s="483">
        <f t="shared" si="26"/>
        <v>0</v>
      </c>
      <c r="G143" s="483">
        <f t="shared" si="27"/>
        <v>0</v>
      </c>
      <c r="H143" s="484">
        <f t="shared" si="28"/>
        <v>0</v>
      </c>
      <c r="I143" s="540">
        <f t="shared" si="29"/>
        <v>0</v>
      </c>
      <c r="J143" s="476">
        <f t="shared" si="30"/>
        <v>0</v>
      </c>
      <c r="K143" s="476"/>
      <c r="L143" s="485"/>
      <c r="M143" s="476">
        <f t="shared" si="31"/>
        <v>0</v>
      </c>
      <c r="N143" s="485"/>
      <c r="O143" s="476">
        <f t="shared" si="32"/>
        <v>0</v>
      </c>
      <c r="P143" s="476">
        <f t="shared" si="33"/>
        <v>0</v>
      </c>
    </row>
    <row r="144" spans="2:16" ht="12.5">
      <c r="B144" s="160" t="str">
        <f t="shared" si="22"/>
        <v/>
      </c>
      <c r="C144" s="470">
        <f>IF(D93="","-",+C143+1)</f>
        <v>2062</v>
      </c>
      <c r="D144" s="345">
        <f>IF(F143+SUM(E$99:E143)=D$92,F143,D$92-SUM(E$99:E143))</f>
        <v>0</v>
      </c>
      <c r="E144" s="482">
        <f t="shared" si="25"/>
        <v>0</v>
      </c>
      <c r="F144" s="483">
        <f t="shared" si="26"/>
        <v>0</v>
      </c>
      <c r="G144" s="483">
        <f t="shared" si="27"/>
        <v>0</v>
      </c>
      <c r="H144" s="484">
        <f t="shared" si="28"/>
        <v>0</v>
      </c>
      <c r="I144" s="540">
        <f t="shared" si="29"/>
        <v>0</v>
      </c>
      <c r="J144" s="476">
        <f t="shared" si="30"/>
        <v>0</v>
      </c>
      <c r="K144" s="476"/>
      <c r="L144" s="485"/>
      <c r="M144" s="476">
        <f t="shared" si="31"/>
        <v>0</v>
      </c>
      <c r="N144" s="485"/>
      <c r="O144" s="476">
        <f t="shared" si="32"/>
        <v>0</v>
      </c>
      <c r="P144" s="476">
        <f t="shared" si="33"/>
        <v>0</v>
      </c>
    </row>
    <row r="145" spans="2:16" ht="12.5">
      <c r="B145" s="160" t="str">
        <f t="shared" si="22"/>
        <v/>
      </c>
      <c r="C145" s="470">
        <f>IF(D93="","-",+C144+1)</f>
        <v>2063</v>
      </c>
      <c r="D145" s="345">
        <f>IF(F144+SUM(E$99:E144)=D$92,F144,D$92-SUM(E$99:E144))</f>
        <v>0</v>
      </c>
      <c r="E145" s="482">
        <f t="shared" si="25"/>
        <v>0</v>
      </c>
      <c r="F145" s="483">
        <f t="shared" si="26"/>
        <v>0</v>
      </c>
      <c r="G145" s="483">
        <f t="shared" si="27"/>
        <v>0</v>
      </c>
      <c r="H145" s="484">
        <f t="shared" si="28"/>
        <v>0</v>
      </c>
      <c r="I145" s="540">
        <f t="shared" si="29"/>
        <v>0</v>
      </c>
      <c r="J145" s="476">
        <f t="shared" si="30"/>
        <v>0</v>
      </c>
      <c r="K145" s="476"/>
      <c r="L145" s="485"/>
      <c r="M145" s="476">
        <f t="shared" si="31"/>
        <v>0</v>
      </c>
      <c r="N145" s="485"/>
      <c r="O145" s="476">
        <f t="shared" si="32"/>
        <v>0</v>
      </c>
      <c r="P145" s="476">
        <f t="shared" si="33"/>
        <v>0</v>
      </c>
    </row>
    <row r="146" spans="2:16" ht="12.5">
      <c r="B146" s="160" t="str">
        <f t="shared" si="22"/>
        <v/>
      </c>
      <c r="C146" s="470">
        <f>IF(D93="","-",+C145+1)</f>
        <v>2064</v>
      </c>
      <c r="D146" s="345">
        <f>IF(F145+SUM(E$99:E145)=D$92,F145,D$92-SUM(E$99:E145))</f>
        <v>0</v>
      </c>
      <c r="E146" s="482">
        <f t="shared" si="25"/>
        <v>0</v>
      </c>
      <c r="F146" s="483">
        <f t="shared" si="26"/>
        <v>0</v>
      </c>
      <c r="G146" s="483">
        <f t="shared" si="27"/>
        <v>0</v>
      </c>
      <c r="H146" s="484">
        <f t="shared" si="28"/>
        <v>0</v>
      </c>
      <c r="I146" s="540">
        <f t="shared" si="29"/>
        <v>0</v>
      </c>
      <c r="J146" s="476">
        <f t="shared" si="30"/>
        <v>0</v>
      </c>
      <c r="K146" s="476"/>
      <c r="L146" s="485"/>
      <c r="M146" s="476">
        <f t="shared" si="31"/>
        <v>0</v>
      </c>
      <c r="N146" s="485"/>
      <c r="O146" s="476">
        <f t="shared" si="32"/>
        <v>0</v>
      </c>
      <c r="P146" s="476">
        <f t="shared" si="33"/>
        <v>0</v>
      </c>
    </row>
    <row r="147" spans="2:16" ht="12.5">
      <c r="B147" s="160" t="str">
        <f t="shared" si="22"/>
        <v/>
      </c>
      <c r="C147" s="470">
        <f>IF(D93="","-",+C146+1)</f>
        <v>2065</v>
      </c>
      <c r="D147" s="345">
        <f>IF(F146+SUM(E$99:E146)=D$92,F146,D$92-SUM(E$99:E146))</f>
        <v>0</v>
      </c>
      <c r="E147" s="482">
        <f t="shared" si="25"/>
        <v>0</v>
      </c>
      <c r="F147" s="483">
        <f t="shared" si="26"/>
        <v>0</v>
      </c>
      <c r="G147" s="483">
        <f t="shared" si="27"/>
        <v>0</v>
      </c>
      <c r="H147" s="484">
        <f t="shared" si="28"/>
        <v>0</v>
      </c>
      <c r="I147" s="540">
        <f t="shared" si="29"/>
        <v>0</v>
      </c>
      <c r="J147" s="476">
        <f t="shared" si="30"/>
        <v>0</v>
      </c>
      <c r="K147" s="476"/>
      <c r="L147" s="485"/>
      <c r="M147" s="476">
        <f t="shared" si="31"/>
        <v>0</v>
      </c>
      <c r="N147" s="485"/>
      <c r="O147" s="476">
        <f t="shared" si="32"/>
        <v>0</v>
      </c>
      <c r="P147" s="476">
        <f t="shared" si="33"/>
        <v>0</v>
      </c>
    </row>
    <row r="148" spans="2:16" ht="12.5">
      <c r="B148" s="160" t="str">
        <f t="shared" si="22"/>
        <v/>
      </c>
      <c r="C148" s="470">
        <f>IF(D93="","-",+C147+1)</f>
        <v>2066</v>
      </c>
      <c r="D148" s="345">
        <f>IF(F147+SUM(E$99:E147)=D$92,F147,D$92-SUM(E$99:E147))</f>
        <v>0</v>
      </c>
      <c r="E148" s="482">
        <f t="shared" si="25"/>
        <v>0</v>
      </c>
      <c r="F148" s="483">
        <f t="shared" si="26"/>
        <v>0</v>
      </c>
      <c r="G148" s="483">
        <f t="shared" si="27"/>
        <v>0</v>
      </c>
      <c r="H148" s="484">
        <f t="shared" si="28"/>
        <v>0</v>
      </c>
      <c r="I148" s="540">
        <f t="shared" si="29"/>
        <v>0</v>
      </c>
      <c r="J148" s="476">
        <f t="shared" si="30"/>
        <v>0</v>
      </c>
      <c r="K148" s="476"/>
      <c r="L148" s="485"/>
      <c r="M148" s="476">
        <f t="shared" si="31"/>
        <v>0</v>
      </c>
      <c r="N148" s="485"/>
      <c r="O148" s="476">
        <f t="shared" si="32"/>
        <v>0</v>
      </c>
      <c r="P148" s="476">
        <f t="shared" si="33"/>
        <v>0</v>
      </c>
    </row>
    <row r="149" spans="2:16" ht="12.5">
      <c r="B149" s="160" t="str">
        <f t="shared" si="22"/>
        <v/>
      </c>
      <c r="C149" s="470">
        <f>IF(D93="","-",+C148+1)</f>
        <v>2067</v>
      </c>
      <c r="D149" s="345">
        <f>IF(F148+SUM(E$99:E148)=D$92,F148,D$92-SUM(E$99:E148))</f>
        <v>0</v>
      </c>
      <c r="E149" s="482">
        <f t="shared" si="25"/>
        <v>0</v>
      </c>
      <c r="F149" s="483">
        <f t="shared" si="26"/>
        <v>0</v>
      </c>
      <c r="G149" s="483">
        <f t="shared" si="27"/>
        <v>0</v>
      </c>
      <c r="H149" s="484">
        <f t="shared" si="28"/>
        <v>0</v>
      </c>
      <c r="I149" s="540">
        <f t="shared" si="29"/>
        <v>0</v>
      </c>
      <c r="J149" s="476">
        <f t="shared" si="30"/>
        <v>0</v>
      </c>
      <c r="K149" s="476"/>
      <c r="L149" s="485"/>
      <c r="M149" s="476">
        <f t="shared" si="31"/>
        <v>0</v>
      </c>
      <c r="N149" s="485"/>
      <c r="O149" s="476">
        <f t="shared" si="32"/>
        <v>0</v>
      </c>
      <c r="P149" s="476">
        <f t="shared" si="33"/>
        <v>0</v>
      </c>
    </row>
    <row r="150" spans="2:16" ht="12.5">
      <c r="B150" s="160" t="str">
        <f t="shared" si="22"/>
        <v/>
      </c>
      <c r="C150" s="470">
        <f>IF(D93="","-",+C149+1)</f>
        <v>2068</v>
      </c>
      <c r="D150" s="345">
        <f>IF(F149+SUM(E$99:E149)=D$92,F149,D$92-SUM(E$99:E149))</f>
        <v>0</v>
      </c>
      <c r="E150" s="482">
        <f t="shared" si="25"/>
        <v>0</v>
      </c>
      <c r="F150" s="483">
        <f t="shared" si="26"/>
        <v>0</v>
      </c>
      <c r="G150" s="483">
        <f t="shared" si="27"/>
        <v>0</v>
      </c>
      <c r="H150" s="484">
        <f t="shared" si="28"/>
        <v>0</v>
      </c>
      <c r="I150" s="540">
        <f t="shared" si="29"/>
        <v>0</v>
      </c>
      <c r="J150" s="476">
        <f t="shared" si="30"/>
        <v>0</v>
      </c>
      <c r="K150" s="476"/>
      <c r="L150" s="485"/>
      <c r="M150" s="476">
        <f t="shared" si="31"/>
        <v>0</v>
      </c>
      <c r="N150" s="485"/>
      <c r="O150" s="476">
        <f t="shared" si="32"/>
        <v>0</v>
      </c>
      <c r="P150" s="476">
        <f t="shared" si="33"/>
        <v>0</v>
      </c>
    </row>
    <row r="151" spans="2:16" ht="12.5">
      <c r="B151" s="160" t="str">
        <f t="shared" si="22"/>
        <v/>
      </c>
      <c r="C151" s="470">
        <f>IF(D93="","-",+C150+1)</f>
        <v>2069</v>
      </c>
      <c r="D151" s="345">
        <f>IF(F150+SUM(E$99:E150)=D$92,F150,D$92-SUM(E$99:E150))</f>
        <v>0</v>
      </c>
      <c r="E151" s="482">
        <f t="shared" si="25"/>
        <v>0</v>
      </c>
      <c r="F151" s="483">
        <f t="shared" si="26"/>
        <v>0</v>
      </c>
      <c r="G151" s="483">
        <f t="shared" si="27"/>
        <v>0</v>
      </c>
      <c r="H151" s="484">
        <f t="shared" si="28"/>
        <v>0</v>
      </c>
      <c r="I151" s="540">
        <f t="shared" si="29"/>
        <v>0</v>
      </c>
      <c r="J151" s="476">
        <f t="shared" si="30"/>
        <v>0</v>
      </c>
      <c r="K151" s="476"/>
      <c r="L151" s="485"/>
      <c r="M151" s="476">
        <f t="shared" si="31"/>
        <v>0</v>
      </c>
      <c r="N151" s="485"/>
      <c r="O151" s="476">
        <f t="shared" si="32"/>
        <v>0</v>
      </c>
      <c r="P151" s="476">
        <f t="shared" si="33"/>
        <v>0</v>
      </c>
    </row>
    <row r="152" spans="2:16" ht="12.5">
      <c r="B152" s="160" t="str">
        <f t="shared" si="22"/>
        <v/>
      </c>
      <c r="C152" s="470">
        <f>IF(D93="","-",+C151+1)</f>
        <v>2070</v>
      </c>
      <c r="D152" s="345">
        <f>IF(F151+SUM(E$99:E151)=D$92,F151,D$92-SUM(E$99:E151))</f>
        <v>0</v>
      </c>
      <c r="E152" s="482">
        <f t="shared" si="25"/>
        <v>0</v>
      </c>
      <c r="F152" s="483">
        <f t="shared" si="26"/>
        <v>0</v>
      </c>
      <c r="G152" s="483">
        <f t="shared" si="27"/>
        <v>0</v>
      </c>
      <c r="H152" s="484">
        <f t="shared" si="28"/>
        <v>0</v>
      </c>
      <c r="I152" s="540">
        <f t="shared" si="29"/>
        <v>0</v>
      </c>
      <c r="J152" s="476">
        <f t="shared" si="30"/>
        <v>0</v>
      </c>
      <c r="K152" s="476"/>
      <c r="L152" s="485"/>
      <c r="M152" s="476">
        <f t="shared" si="31"/>
        <v>0</v>
      </c>
      <c r="N152" s="485"/>
      <c r="O152" s="476">
        <f t="shared" si="32"/>
        <v>0</v>
      </c>
      <c r="P152" s="476">
        <f t="shared" si="33"/>
        <v>0</v>
      </c>
    </row>
    <row r="153" spans="2:16" ht="12.5">
      <c r="B153" s="160" t="str">
        <f t="shared" si="22"/>
        <v/>
      </c>
      <c r="C153" s="470">
        <f>IF(D93="","-",+C152+1)</f>
        <v>2071</v>
      </c>
      <c r="D153" s="345">
        <f>IF(F152+SUM(E$99:E152)=D$92,F152,D$92-SUM(E$99:E152))</f>
        <v>0</v>
      </c>
      <c r="E153" s="482">
        <f t="shared" si="25"/>
        <v>0</v>
      </c>
      <c r="F153" s="483">
        <f t="shared" si="26"/>
        <v>0</v>
      </c>
      <c r="G153" s="483">
        <f t="shared" si="27"/>
        <v>0</v>
      </c>
      <c r="H153" s="484">
        <f t="shared" si="28"/>
        <v>0</v>
      </c>
      <c r="I153" s="540">
        <f t="shared" si="29"/>
        <v>0</v>
      </c>
      <c r="J153" s="476">
        <f t="shared" si="30"/>
        <v>0</v>
      </c>
      <c r="K153" s="476"/>
      <c r="L153" s="485"/>
      <c r="M153" s="476">
        <f t="shared" si="31"/>
        <v>0</v>
      </c>
      <c r="N153" s="485"/>
      <c r="O153" s="476">
        <f t="shared" si="32"/>
        <v>0</v>
      </c>
      <c r="P153" s="476">
        <f t="shared" si="33"/>
        <v>0</v>
      </c>
    </row>
    <row r="154" spans="2:16" ht="13" thickBot="1">
      <c r="B154" s="160" t="str">
        <f t="shared" si="22"/>
        <v/>
      </c>
      <c r="C154" s="487">
        <f>IF(D93="","-",+C153+1)</f>
        <v>2072</v>
      </c>
      <c r="D154" s="541">
        <f>IF(F153+SUM(E$99:E153)=D$92,F153,D$92-SUM(E$99:E153))</f>
        <v>0</v>
      </c>
      <c r="E154" s="489">
        <f t="shared" si="25"/>
        <v>0</v>
      </c>
      <c r="F154" s="488">
        <f t="shared" si="26"/>
        <v>0</v>
      </c>
      <c r="G154" s="488">
        <f t="shared" si="27"/>
        <v>0</v>
      </c>
      <c r="H154" s="610">
        <f t="shared" ref="H154" si="34">+J$94*G154+E154</f>
        <v>0</v>
      </c>
      <c r="I154" s="611">
        <f t="shared" ref="I154" si="35">+J$95*G154+E154</f>
        <v>0</v>
      </c>
      <c r="J154" s="493">
        <f t="shared" si="30"/>
        <v>0</v>
      </c>
      <c r="K154" s="476"/>
      <c r="L154" s="492"/>
      <c r="M154" s="493">
        <f t="shared" si="31"/>
        <v>0</v>
      </c>
      <c r="N154" s="492"/>
      <c r="O154" s="493">
        <f t="shared" si="32"/>
        <v>0</v>
      </c>
      <c r="P154" s="493">
        <f t="shared" si="33"/>
        <v>0</v>
      </c>
    </row>
    <row r="155" spans="2:16" ht="12.5">
      <c r="C155" s="345" t="s">
        <v>77</v>
      </c>
      <c r="D155" s="346"/>
      <c r="E155" s="346">
        <f>SUM(E99:E154)</f>
        <v>1338977.9100000004</v>
      </c>
      <c r="F155" s="346"/>
      <c r="G155" s="346"/>
      <c r="H155" s="346">
        <f>SUM(H99:H154)</f>
        <v>4259734.5073779048</v>
      </c>
      <c r="I155" s="346">
        <f>SUM(I99:I154)</f>
        <v>4259734.5073779048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9"/>
  <dimension ref="A1:P162"/>
  <sheetViews>
    <sheetView topLeftCell="A66" zoomScaleNormal="100" zoomScaleSheetLayoutView="78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20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260241.05207749119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260241.05207749119</v>
      </c>
      <c r="O6" s="231"/>
      <c r="P6" s="231"/>
    </row>
    <row r="7" spans="1:16" ht="13.5" thickBot="1">
      <c r="C7" s="429" t="s">
        <v>46</v>
      </c>
      <c r="D7" s="597" t="s">
        <v>277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293</v>
      </c>
      <c r="E9" s="575" t="s">
        <v>294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1961220.7100000002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50287.710512820515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v>2017</v>
      </c>
      <c r="D17" s="582">
        <v>0</v>
      </c>
      <c r="E17" s="605">
        <v>0</v>
      </c>
      <c r="F17" s="582">
        <v>483000</v>
      </c>
      <c r="G17" s="605">
        <v>30733</v>
      </c>
      <c r="H17" s="585">
        <v>30733</v>
      </c>
      <c r="I17" s="473">
        <f t="shared" ref="I17:I72" si="0">H17-G17</f>
        <v>0</v>
      </c>
      <c r="J17" s="473"/>
      <c r="K17" s="475">
        <f t="shared" ref="K17:K22" si="1">+G17</f>
        <v>30733</v>
      </c>
      <c r="L17" s="475">
        <f t="shared" ref="L17:L72" si="2">IF(K17&lt;&gt;0,+G17-K17,0)</f>
        <v>0</v>
      </c>
      <c r="M17" s="475">
        <f t="shared" ref="M17:M22" si="3">+H17</f>
        <v>30733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2018</v>
      </c>
      <c r="D18" s="582">
        <v>483000</v>
      </c>
      <c r="E18" s="583">
        <v>10555.555555555555</v>
      </c>
      <c r="F18" s="582">
        <v>1140000</v>
      </c>
      <c r="G18" s="583">
        <v>78818.151758984837</v>
      </c>
      <c r="H18" s="585">
        <v>78818.151758984837</v>
      </c>
      <c r="I18" s="473">
        <f t="shared" si="0"/>
        <v>0</v>
      </c>
      <c r="J18" s="473"/>
      <c r="K18" s="476">
        <f t="shared" si="1"/>
        <v>78818.151758984837</v>
      </c>
      <c r="L18" s="476">
        <f t="shared" si="2"/>
        <v>0</v>
      </c>
      <c r="M18" s="476">
        <f t="shared" si="3"/>
        <v>78818.151758984837</v>
      </c>
      <c r="N18" s="476">
        <f t="shared" si="4"/>
        <v>0</v>
      </c>
      <c r="O18" s="476">
        <f t="shared" si="5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2019</v>
      </c>
      <c r="D19" s="582">
        <v>1129444.4444444445</v>
      </c>
      <c r="E19" s="583">
        <v>28500</v>
      </c>
      <c r="F19" s="582">
        <v>1100944.4444444445</v>
      </c>
      <c r="G19" s="583">
        <v>153018.85490841107</v>
      </c>
      <c r="H19" s="585">
        <v>153018.85490841107</v>
      </c>
      <c r="I19" s="473">
        <f t="shared" si="0"/>
        <v>0</v>
      </c>
      <c r="J19" s="473"/>
      <c r="K19" s="476">
        <f t="shared" si="1"/>
        <v>153018.85490841107</v>
      </c>
      <c r="L19" s="476">
        <f t="shared" ref="L19" si="6">IF(K19&lt;&gt;0,+G19-K19,0)</f>
        <v>0</v>
      </c>
      <c r="M19" s="476">
        <f t="shared" si="3"/>
        <v>153018.85490841107</v>
      </c>
      <c r="N19" s="476">
        <f t="shared" si="4"/>
        <v>0</v>
      </c>
      <c r="O19" s="476">
        <f t="shared" si="5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2020</v>
      </c>
      <c r="D20" s="582">
        <v>1883840.111111111</v>
      </c>
      <c r="E20" s="583">
        <v>45707.833333333336</v>
      </c>
      <c r="F20" s="582">
        <v>1838132.2777777778</v>
      </c>
      <c r="G20" s="583">
        <v>246703.23209680832</v>
      </c>
      <c r="H20" s="585">
        <v>246703.23209680832</v>
      </c>
      <c r="I20" s="473">
        <f t="shared" si="0"/>
        <v>0</v>
      </c>
      <c r="J20" s="473"/>
      <c r="K20" s="476">
        <f t="shared" si="1"/>
        <v>246703.23209680832</v>
      </c>
      <c r="L20" s="476">
        <f t="shared" ref="L20" si="8">IF(K20&lt;&gt;0,+G20-K20,0)</f>
        <v>0</v>
      </c>
      <c r="M20" s="476">
        <f t="shared" si="3"/>
        <v>246703.23209680832</v>
      </c>
      <c r="N20" s="476">
        <f t="shared" si="4"/>
        <v>0</v>
      </c>
      <c r="O20" s="476">
        <f t="shared" si="5"/>
        <v>0</v>
      </c>
      <c r="P20" s="241"/>
    </row>
    <row r="21" spans="2:16" ht="12.5">
      <c r="B21" s="160" t="str">
        <f t="shared" si="7"/>
        <v>IU</v>
      </c>
      <c r="C21" s="470">
        <f>IF(D11="","-",+C20+1)</f>
        <v>2021</v>
      </c>
      <c r="D21" s="582">
        <v>1876457.611111111</v>
      </c>
      <c r="E21" s="583">
        <v>45609.79069767442</v>
      </c>
      <c r="F21" s="582">
        <v>1830847.8204134365</v>
      </c>
      <c r="G21" s="583">
        <v>245473.68855677257</v>
      </c>
      <c r="H21" s="585">
        <v>245473.68855677257</v>
      </c>
      <c r="I21" s="473">
        <f t="shared" si="0"/>
        <v>0</v>
      </c>
      <c r="J21" s="473"/>
      <c r="K21" s="476">
        <f t="shared" si="1"/>
        <v>245473.68855677257</v>
      </c>
      <c r="L21" s="476">
        <f t="shared" ref="L21" si="9">IF(K21&lt;&gt;0,+G21-K21,0)</f>
        <v>0</v>
      </c>
      <c r="M21" s="476">
        <f t="shared" si="3"/>
        <v>245473.68855677257</v>
      </c>
      <c r="N21" s="476">
        <f t="shared" si="4"/>
        <v>0</v>
      </c>
      <c r="O21" s="476">
        <f t="shared" si="5"/>
        <v>0</v>
      </c>
      <c r="P21" s="241"/>
    </row>
    <row r="22" spans="2:16" ht="12.5">
      <c r="B22" s="160" t="str">
        <f t="shared" si="7"/>
        <v/>
      </c>
      <c r="C22" s="470">
        <f>IF(D11="","-",+C21+1)</f>
        <v>2022</v>
      </c>
      <c r="D22" s="582">
        <v>1830847.8204134365</v>
      </c>
      <c r="E22" s="583">
        <v>46695.738095238092</v>
      </c>
      <c r="F22" s="582">
        <v>1784152.0823181984</v>
      </c>
      <c r="G22" s="583">
        <v>241564.55964853393</v>
      </c>
      <c r="H22" s="585">
        <v>241564.55964853393</v>
      </c>
      <c r="I22" s="473">
        <f t="shared" si="0"/>
        <v>0</v>
      </c>
      <c r="J22" s="473"/>
      <c r="K22" s="476">
        <f t="shared" si="1"/>
        <v>241564.55964853393</v>
      </c>
      <c r="L22" s="476">
        <f t="shared" ref="L22" si="10">IF(K22&lt;&gt;0,+G22-K22,0)</f>
        <v>0</v>
      </c>
      <c r="M22" s="476">
        <f t="shared" si="3"/>
        <v>241564.55964853393</v>
      </c>
      <c r="N22" s="476">
        <f t="shared" si="4"/>
        <v>0</v>
      </c>
      <c r="O22" s="476">
        <f t="shared" si="5"/>
        <v>0</v>
      </c>
      <c r="P22" s="241"/>
    </row>
    <row r="23" spans="2:16" ht="12.5">
      <c r="B23" s="160" t="str">
        <f t="shared" si="7"/>
        <v>IU</v>
      </c>
      <c r="C23" s="470">
        <f>IF(D11="","-",+C22+1)</f>
        <v>2023</v>
      </c>
      <c r="D23" s="582">
        <v>1784151.7923181988</v>
      </c>
      <c r="E23" s="583">
        <v>50287.710512820515</v>
      </c>
      <c r="F23" s="582">
        <v>1733864.0818053782</v>
      </c>
      <c r="G23" s="583">
        <v>260241.05207749119</v>
      </c>
      <c r="H23" s="585">
        <v>260241.05207749119</v>
      </c>
      <c r="I23" s="473">
        <f t="shared" si="0"/>
        <v>0</v>
      </c>
      <c r="J23" s="473"/>
      <c r="K23" s="476">
        <f t="shared" ref="K23" si="11">+G23</f>
        <v>260241.05207749119</v>
      </c>
      <c r="L23" s="476">
        <f t="shared" ref="L23" si="12">IF(K23&lt;&gt;0,+G23-K23,0)</f>
        <v>0</v>
      </c>
      <c r="M23" s="476">
        <f t="shared" ref="M23" si="13">+H23</f>
        <v>260241.05207749119</v>
      </c>
      <c r="N23" s="476">
        <f t="shared" si="4"/>
        <v>0</v>
      </c>
      <c r="O23" s="476">
        <f t="shared" si="5"/>
        <v>0</v>
      </c>
      <c r="P23" s="241"/>
    </row>
    <row r="24" spans="2:16" ht="12.5">
      <c r="B24" s="160" t="str">
        <f t="shared" si="7"/>
        <v/>
      </c>
      <c r="C24" s="470">
        <f>IF(D11="","-",+C23+1)</f>
        <v>2024</v>
      </c>
      <c r="D24" s="481">
        <f>IF(F23+SUM(E$17:E23)=D$10,F23,D$10-SUM(E$17:E23))</f>
        <v>1733864.0818053782</v>
      </c>
      <c r="E24" s="482">
        <f t="shared" ref="E24:E72" si="14">IF(+I$14&lt;F23,I$14,D24)</f>
        <v>50287.710512820515</v>
      </c>
      <c r="F24" s="483">
        <f t="shared" ref="F24:F72" si="15">+D24-E24</f>
        <v>1683576.3712925576</v>
      </c>
      <c r="G24" s="484">
        <f t="shared" ref="G24:G72" si="16">(D24+F24)/2*I$12+E24</f>
        <v>254238.76371974818</v>
      </c>
      <c r="H24" s="453">
        <f t="shared" ref="H24:H72" si="17">+(D24+F24)/2*I$13+E24</f>
        <v>254238.76371974818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 ht="12.5">
      <c r="B25" s="160" t="str">
        <f t="shared" si="7"/>
        <v/>
      </c>
      <c r="C25" s="470">
        <f>IF(D11="","-",+C24+1)</f>
        <v>2025</v>
      </c>
      <c r="D25" s="481">
        <f>IF(F24+SUM(E$17:E24)=D$10,F24,D$10-SUM(E$17:E24))</f>
        <v>1683576.3712925576</v>
      </c>
      <c r="E25" s="482">
        <f t="shared" si="14"/>
        <v>50287.710512820515</v>
      </c>
      <c r="F25" s="483">
        <f t="shared" si="15"/>
        <v>1633288.6607797369</v>
      </c>
      <c r="G25" s="484">
        <f t="shared" si="16"/>
        <v>248236.47536200518</v>
      </c>
      <c r="H25" s="453">
        <f t="shared" si="17"/>
        <v>248236.47536200518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 ht="12.5">
      <c r="B26" s="160" t="str">
        <f t="shared" si="7"/>
        <v/>
      </c>
      <c r="C26" s="470">
        <f>IF(D11="","-",+C25+1)</f>
        <v>2026</v>
      </c>
      <c r="D26" s="481">
        <f>IF(F25+SUM(E$17:E25)=D$10,F25,D$10-SUM(E$17:E25))</f>
        <v>1633288.6607797369</v>
      </c>
      <c r="E26" s="482">
        <f t="shared" si="14"/>
        <v>50287.710512820515</v>
      </c>
      <c r="F26" s="483">
        <f t="shared" si="15"/>
        <v>1583000.9502669163</v>
      </c>
      <c r="G26" s="484">
        <f t="shared" si="16"/>
        <v>242234.18700426217</v>
      </c>
      <c r="H26" s="453">
        <f t="shared" si="17"/>
        <v>242234.18700426217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 ht="12.5">
      <c r="B27" s="160" t="str">
        <f t="shared" si="7"/>
        <v/>
      </c>
      <c r="C27" s="470">
        <f>IF(D11="","-",+C26+1)</f>
        <v>2027</v>
      </c>
      <c r="D27" s="481">
        <f>IF(F26+SUM(E$17:E26)=D$10,F26,D$10-SUM(E$17:E26))</f>
        <v>1583000.9502669163</v>
      </c>
      <c r="E27" s="482">
        <f t="shared" si="14"/>
        <v>50287.710512820515</v>
      </c>
      <c r="F27" s="483">
        <f t="shared" si="15"/>
        <v>1532713.2397540957</v>
      </c>
      <c r="G27" s="484">
        <f t="shared" si="16"/>
        <v>236231.89864651917</v>
      </c>
      <c r="H27" s="453">
        <f t="shared" si="17"/>
        <v>236231.89864651917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 ht="12.5">
      <c r="B28" s="160" t="str">
        <f t="shared" si="7"/>
        <v/>
      </c>
      <c r="C28" s="470">
        <f>IF(D11="","-",+C27+1)</f>
        <v>2028</v>
      </c>
      <c r="D28" s="481">
        <f>IF(F27+SUM(E$17:E27)=D$10,F27,D$10-SUM(E$17:E27))</f>
        <v>1532713.2397540957</v>
      </c>
      <c r="E28" s="482">
        <f t="shared" si="14"/>
        <v>50287.710512820515</v>
      </c>
      <c r="F28" s="483">
        <f t="shared" si="15"/>
        <v>1482425.529241275</v>
      </c>
      <c r="G28" s="484">
        <f t="shared" si="16"/>
        <v>230229.61028877617</v>
      </c>
      <c r="H28" s="453">
        <f t="shared" si="17"/>
        <v>230229.61028877617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 ht="12.5">
      <c r="B29" s="160" t="str">
        <f t="shared" si="7"/>
        <v/>
      </c>
      <c r="C29" s="470">
        <f>IF(D11="","-",+C28+1)</f>
        <v>2029</v>
      </c>
      <c r="D29" s="481">
        <f>IF(F28+SUM(E$17:E28)=D$10,F28,D$10-SUM(E$17:E28))</f>
        <v>1482425.529241275</v>
      </c>
      <c r="E29" s="482">
        <f t="shared" si="14"/>
        <v>50287.710512820515</v>
      </c>
      <c r="F29" s="483">
        <f t="shared" si="15"/>
        <v>1432137.8187284544</v>
      </c>
      <c r="G29" s="484">
        <f t="shared" si="16"/>
        <v>224227.32193103316</v>
      </c>
      <c r="H29" s="453">
        <f t="shared" si="17"/>
        <v>224227.32193103316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 ht="12.5">
      <c r="B30" s="160" t="str">
        <f t="shared" si="7"/>
        <v/>
      </c>
      <c r="C30" s="470">
        <f>IF(D11="","-",+C29+1)</f>
        <v>2030</v>
      </c>
      <c r="D30" s="481">
        <f>IF(F29+SUM(E$17:E29)=D$10,F29,D$10-SUM(E$17:E29))</f>
        <v>1432137.8187284544</v>
      </c>
      <c r="E30" s="482">
        <f t="shared" si="14"/>
        <v>50287.710512820515</v>
      </c>
      <c r="F30" s="483">
        <f t="shared" si="15"/>
        <v>1381850.1082156338</v>
      </c>
      <c r="G30" s="484">
        <f t="shared" si="16"/>
        <v>218225.03357329016</v>
      </c>
      <c r="H30" s="453">
        <f t="shared" si="17"/>
        <v>218225.03357329016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 ht="12.5">
      <c r="B31" s="160" t="str">
        <f t="shared" si="7"/>
        <v/>
      </c>
      <c r="C31" s="470">
        <f>IF(D11="","-",+C30+1)</f>
        <v>2031</v>
      </c>
      <c r="D31" s="481">
        <f>IF(F30+SUM(E$17:E30)=D$10,F30,D$10-SUM(E$17:E30))</f>
        <v>1381850.1082156338</v>
      </c>
      <c r="E31" s="482">
        <f t="shared" si="14"/>
        <v>50287.710512820515</v>
      </c>
      <c r="F31" s="483">
        <f t="shared" si="15"/>
        <v>1331562.3977028131</v>
      </c>
      <c r="G31" s="484">
        <f t="shared" si="16"/>
        <v>212222.74521554715</v>
      </c>
      <c r="H31" s="453">
        <f t="shared" si="17"/>
        <v>212222.74521554715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 ht="12.5">
      <c r="B32" s="160" t="str">
        <f t="shared" si="7"/>
        <v/>
      </c>
      <c r="C32" s="470">
        <f>IF(D11="","-",+C31+1)</f>
        <v>2032</v>
      </c>
      <c r="D32" s="481">
        <f>IF(F31+SUM(E$17:E31)=D$10,F31,D$10-SUM(E$17:E31))</f>
        <v>1331562.3977028131</v>
      </c>
      <c r="E32" s="482">
        <f t="shared" si="14"/>
        <v>50287.710512820515</v>
      </c>
      <c r="F32" s="483">
        <f t="shared" si="15"/>
        <v>1281274.6871899925</v>
      </c>
      <c r="G32" s="484">
        <f t="shared" si="16"/>
        <v>206220.45685780415</v>
      </c>
      <c r="H32" s="453">
        <f t="shared" si="17"/>
        <v>206220.45685780415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 ht="12.5">
      <c r="B33" s="160" t="str">
        <f t="shared" si="7"/>
        <v/>
      </c>
      <c r="C33" s="470">
        <f>IF(D11="","-",+C32+1)</f>
        <v>2033</v>
      </c>
      <c r="D33" s="481">
        <f>IF(F32+SUM(E$17:E32)=D$10,F32,D$10-SUM(E$17:E32))</f>
        <v>1281274.6871899925</v>
      </c>
      <c r="E33" s="482">
        <f t="shared" si="14"/>
        <v>50287.710512820515</v>
      </c>
      <c r="F33" s="483">
        <f t="shared" si="15"/>
        <v>1230986.9766771719</v>
      </c>
      <c r="G33" s="484">
        <f t="shared" si="16"/>
        <v>200218.16850006115</v>
      </c>
      <c r="H33" s="453">
        <f t="shared" si="17"/>
        <v>200218.16850006115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 ht="12.5">
      <c r="B34" s="160" t="str">
        <f t="shared" si="7"/>
        <v/>
      </c>
      <c r="C34" s="470">
        <f>IF(D11="","-",+C33+1)</f>
        <v>2034</v>
      </c>
      <c r="D34" s="481">
        <f>IF(F33+SUM(E$17:E33)=D$10,F33,D$10-SUM(E$17:E33))</f>
        <v>1230986.9766771719</v>
      </c>
      <c r="E34" s="482">
        <f t="shared" si="14"/>
        <v>50287.710512820515</v>
      </c>
      <c r="F34" s="483">
        <f t="shared" si="15"/>
        <v>1180699.2661643513</v>
      </c>
      <c r="G34" s="484">
        <f t="shared" si="16"/>
        <v>194215.88014231814</v>
      </c>
      <c r="H34" s="453">
        <f t="shared" si="17"/>
        <v>194215.88014231814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 ht="12.5">
      <c r="B35" s="160" t="str">
        <f t="shared" si="7"/>
        <v/>
      </c>
      <c r="C35" s="470">
        <f>IF(D11="","-",+C34+1)</f>
        <v>2035</v>
      </c>
      <c r="D35" s="481">
        <f>IF(F34+SUM(E$17:E34)=D$10,F34,D$10-SUM(E$17:E34))</f>
        <v>1180699.2661643513</v>
      </c>
      <c r="E35" s="482">
        <f t="shared" si="14"/>
        <v>50287.710512820515</v>
      </c>
      <c r="F35" s="483">
        <f t="shared" si="15"/>
        <v>1130411.5556515306</v>
      </c>
      <c r="G35" s="484">
        <f t="shared" si="16"/>
        <v>188213.59178457514</v>
      </c>
      <c r="H35" s="453">
        <f t="shared" si="17"/>
        <v>188213.59178457514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 ht="12.5">
      <c r="B36" s="160" t="str">
        <f t="shared" si="7"/>
        <v/>
      </c>
      <c r="C36" s="470">
        <f>IF(D11="","-",+C35+1)</f>
        <v>2036</v>
      </c>
      <c r="D36" s="481">
        <f>IF(F35+SUM(E$17:E35)=D$10,F35,D$10-SUM(E$17:E35))</f>
        <v>1130411.5556515306</v>
      </c>
      <c r="E36" s="482">
        <f t="shared" si="14"/>
        <v>50287.710512820515</v>
      </c>
      <c r="F36" s="483">
        <f t="shared" si="15"/>
        <v>1080123.84513871</v>
      </c>
      <c r="G36" s="484">
        <f t="shared" si="16"/>
        <v>182211.30342683214</v>
      </c>
      <c r="H36" s="453">
        <f t="shared" si="17"/>
        <v>182211.30342683214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 ht="12.5">
      <c r="B37" s="160" t="str">
        <f t="shared" si="7"/>
        <v/>
      </c>
      <c r="C37" s="470">
        <f>IF(D11="","-",+C36+1)</f>
        <v>2037</v>
      </c>
      <c r="D37" s="481">
        <f>IF(F36+SUM(E$17:E36)=D$10,F36,D$10-SUM(E$17:E36))</f>
        <v>1080123.84513871</v>
      </c>
      <c r="E37" s="482">
        <f t="shared" si="14"/>
        <v>50287.710512820515</v>
      </c>
      <c r="F37" s="483">
        <f t="shared" si="15"/>
        <v>1029836.1346258895</v>
      </c>
      <c r="G37" s="484">
        <f t="shared" si="16"/>
        <v>176209.01506908913</v>
      </c>
      <c r="H37" s="453">
        <f t="shared" si="17"/>
        <v>176209.01506908913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 ht="12.5">
      <c r="B38" s="160" t="str">
        <f t="shared" si="7"/>
        <v/>
      </c>
      <c r="C38" s="470">
        <f>IF(D11="","-",+C37+1)</f>
        <v>2038</v>
      </c>
      <c r="D38" s="481">
        <f>IF(F37+SUM(E$17:E37)=D$10,F37,D$10-SUM(E$17:E37))</f>
        <v>1029836.1346258895</v>
      </c>
      <c r="E38" s="482">
        <f t="shared" si="14"/>
        <v>50287.710512820515</v>
      </c>
      <c r="F38" s="483">
        <f t="shared" si="15"/>
        <v>979548.42411306896</v>
      </c>
      <c r="G38" s="484">
        <f t="shared" si="16"/>
        <v>170206.72671134616</v>
      </c>
      <c r="H38" s="453">
        <f t="shared" si="17"/>
        <v>170206.72671134616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 ht="12.5">
      <c r="B39" s="160" t="str">
        <f t="shared" si="7"/>
        <v/>
      </c>
      <c r="C39" s="470">
        <f>IF(D11="","-",+C38+1)</f>
        <v>2039</v>
      </c>
      <c r="D39" s="481">
        <f>IF(F38+SUM(E$17:E38)=D$10,F38,D$10-SUM(E$17:E38))</f>
        <v>979548.42411306896</v>
      </c>
      <c r="E39" s="482">
        <f t="shared" si="14"/>
        <v>50287.710512820515</v>
      </c>
      <c r="F39" s="483">
        <f t="shared" si="15"/>
        <v>929260.71360024845</v>
      </c>
      <c r="G39" s="484">
        <f t="shared" si="16"/>
        <v>164204.43835360315</v>
      </c>
      <c r="H39" s="453">
        <f t="shared" si="17"/>
        <v>164204.43835360315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 ht="12.5">
      <c r="B40" s="160" t="str">
        <f t="shared" si="7"/>
        <v/>
      </c>
      <c r="C40" s="470">
        <f>IF(D11="","-",+C39+1)</f>
        <v>2040</v>
      </c>
      <c r="D40" s="481">
        <f>IF(F39+SUM(E$17:E39)=D$10,F39,D$10-SUM(E$17:E39))</f>
        <v>929260.71360024845</v>
      </c>
      <c r="E40" s="482">
        <f t="shared" si="14"/>
        <v>50287.710512820515</v>
      </c>
      <c r="F40" s="483">
        <f t="shared" si="15"/>
        <v>878973.00308742793</v>
      </c>
      <c r="G40" s="484">
        <f t="shared" si="16"/>
        <v>158202.14999586018</v>
      </c>
      <c r="H40" s="453">
        <f t="shared" si="17"/>
        <v>158202.14999586018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 ht="12.5">
      <c r="B41" s="160" t="str">
        <f t="shared" si="7"/>
        <v/>
      </c>
      <c r="C41" s="470">
        <f>IF(D11="","-",+C40+1)</f>
        <v>2041</v>
      </c>
      <c r="D41" s="481">
        <f>IF(F40+SUM(E$17:E40)=D$10,F40,D$10-SUM(E$17:E40))</f>
        <v>878973.00308742793</v>
      </c>
      <c r="E41" s="482">
        <f t="shared" si="14"/>
        <v>50287.710512820515</v>
      </c>
      <c r="F41" s="483">
        <f t="shared" si="15"/>
        <v>828685.29257460742</v>
      </c>
      <c r="G41" s="484">
        <f t="shared" si="16"/>
        <v>152199.86163811717</v>
      </c>
      <c r="H41" s="453">
        <f t="shared" si="17"/>
        <v>152199.86163811717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 ht="12.5">
      <c r="B42" s="160" t="str">
        <f t="shared" si="7"/>
        <v/>
      </c>
      <c r="C42" s="470">
        <f>IF(D11="","-",+C41+1)</f>
        <v>2042</v>
      </c>
      <c r="D42" s="481">
        <f>IF(F41+SUM(E$17:E41)=D$10,F41,D$10-SUM(E$17:E41))</f>
        <v>828685.29257460742</v>
      </c>
      <c r="E42" s="482">
        <f t="shared" si="14"/>
        <v>50287.710512820515</v>
      </c>
      <c r="F42" s="483">
        <f t="shared" si="15"/>
        <v>778397.5820617869</v>
      </c>
      <c r="G42" s="484">
        <f t="shared" si="16"/>
        <v>146197.57328037423</v>
      </c>
      <c r="H42" s="453">
        <f t="shared" si="17"/>
        <v>146197.57328037423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 ht="12.5">
      <c r="B43" s="160" t="str">
        <f t="shared" si="7"/>
        <v/>
      </c>
      <c r="C43" s="470">
        <f>IF(D11="","-",+C42+1)</f>
        <v>2043</v>
      </c>
      <c r="D43" s="481">
        <f>IF(F42+SUM(E$17:E42)=D$10,F42,D$10-SUM(E$17:E42))</f>
        <v>778397.5820617869</v>
      </c>
      <c r="E43" s="482">
        <f t="shared" si="14"/>
        <v>50287.710512820515</v>
      </c>
      <c r="F43" s="483">
        <f t="shared" si="15"/>
        <v>728109.87154896639</v>
      </c>
      <c r="G43" s="484">
        <f t="shared" si="16"/>
        <v>140195.28492263122</v>
      </c>
      <c r="H43" s="453">
        <f t="shared" si="17"/>
        <v>140195.28492263122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 ht="12.5">
      <c r="B44" s="160" t="str">
        <f t="shared" si="7"/>
        <v/>
      </c>
      <c r="C44" s="470">
        <f>IF(D11="","-",+C43+1)</f>
        <v>2044</v>
      </c>
      <c r="D44" s="481">
        <f>IF(F43+SUM(E$17:E43)=D$10,F43,D$10-SUM(E$17:E43))</f>
        <v>728109.87154896639</v>
      </c>
      <c r="E44" s="482">
        <f t="shared" si="14"/>
        <v>50287.710512820515</v>
      </c>
      <c r="F44" s="483">
        <f t="shared" si="15"/>
        <v>677822.16103614587</v>
      </c>
      <c r="G44" s="484">
        <f t="shared" si="16"/>
        <v>134192.99656488822</v>
      </c>
      <c r="H44" s="453">
        <f t="shared" si="17"/>
        <v>134192.99656488822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 ht="12.5">
      <c r="B45" s="160" t="str">
        <f t="shared" si="7"/>
        <v/>
      </c>
      <c r="C45" s="470">
        <f>IF(D11="","-",+C44+1)</f>
        <v>2045</v>
      </c>
      <c r="D45" s="481">
        <f>IF(F44+SUM(E$17:E44)=D$10,F44,D$10-SUM(E$17:E44))</f>
        <v>677822.16103614587</v>
      </c>
      <c r="E45" s="482">
        <f t="shared" si="14"/>
        <v>50287.710512820515</v>
      </c>
      <c r="F45" s="483">
        <f t="shared" si="15"/>
        <v>627534.45052332536</v>
      </c>
      <c r="G45" s="484">
        <f t="shared" si="16"/>
        <v>128190.70820714523</v>
      </c>
      <c r="H45" s="453">
        <f t="shared" si="17"/>
        <v>128190.70820714523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 ht="12.5">
      <c r="B46" s="160" t="str">
        <f t="shared" si="7"/>
        <v/>
      </c>
      <c r="C46" s="470">
        <f>IF(D11="","-",+C45+1)</f>
        <v>2046</v>
      </c>
      <c r="D46" s="481">
        <f>IF(F45+SUM(E$17:E45)=D$10,F45,D$10-SUM(E$17:E45))</f>
        <v>627534.45052332536</v>
      </c>
      <c r="E46" s="482">
        <f t="shared" si="14"/>
        <v>50287.710512820515</v>
      </c>
      <c r="F46" s="483">
        <f t="shared" si="15"/>
        <v>577246.74001050484</v>
      </c>
      <c r="G46" s="484">
        <f t="shared" si="16"/>
        <v>122188.41984940226</v>
      </c>
      <c r="H46" s="453">
        <f t="shared" si="17"/>
        <v>122188.41984940226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 ht="12.5">
      <c r="B47" s="160" t="str">
        <f t="shared" si="7"/>
        <v/>
      </c>
      <c r="C47" s="470">
        <f>IF(D11="","-",+C46+1)</f>
        <v>2047</v>
      </c>
      <c r="D47" s="481">
        <f>IF(F46+SUM(E$17:E46)=D$10,F46,D$10-SUM(E$17:E46))</f>
        <v>577246.74001050484</v>
      </c>
      <c r="E47" s="482">
        <f t="shared" si="14"/>
        <v>50287.710512820515</v>
      </c>
      <c r="F47" s="483">
        <f t="shared" si="15"/>
        <v>526959.02949768433</v>
      </c>
      <c r="G47" s="484">
        <f t="shared" si="16"/>
        <v>116186.13149165925</v>
      </c>
      <c r="H47" s="453">
        <f t="shared" si="17"/>
        <v>116186.13149165925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 ht="12.5">
      <c r="B48" s="160" t="str">
        <f t="shared" si="7"/>
        <v/>
      </c>
      <c r="C48" s="470">
        <f>IF(D11="","-",+C47+1)</f>
        <v>2048</v>
      </c>
      <c r="D48" s="481">
        <f>IF(F47+SUM(E$17:E47)=D$10,F47,D$10-SUM(E$17:E47))</f>
        <v>526959.02949768433</v>
      </c>
      <c r="E48" s="482">
        <f t="shared" si="14"/>
        <v>50287.710512820515</v>
      </c>
      <c r="F48" s="483">
        <f t="shared" si="15"/>
        <v>476671.31898486381</v>
      </c>
      <c r="G48" s="484">
        <f t="shared" si="16"/>
        <v>110183.84313391626</v>
      </c>
      <c r="H48" s="453">
        <f t="shared" si="17"/>
        <v>110183.84313391626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 ht="12.5">
      <c r="B49" s="160" t="str">
        <f t="shared" si="7"/>
        <v/>
      </c>
      <c r="C49" s="470">
        <f>IF(D11="","-",+C48+1)</f>
        <v>2049</v>
      </c>
      <c r="D49" s="481">
        <f>IF(F48+SUM(E$17:E48)=D$10,F48,D$10-SUM(E$17:E48))</f>
        <v>476671.31898486381</v>
      </c>
      <c r="E49" s="482">
        <f t="shared" si="14"/>
        <v>50287.710512820515</v>
      </c>
      <c r="F49" s="483">
        <f t="shared" si="15"/>
        <v>426383.6084720433</v>
      </c>
      <c r="G49" s="484">
        <f t="shared" si="16"/>
        <v>104181.55477617329</v>
      </c>
      <c r="H49" s="453">
        <f t="shared" si="17"/>
        <v>104181.55477617329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 ht="12.5">
      <c r="B50" s="160" t="str">
        <f t="shared" si="7"/>
        <v/>
      </c>
      <c r="C50" s="470">
        <f>IF(D11="","-",+C49+1)</f>
        <v>2050</v>
      </c>
      <c r="D50" s="481">
        <f>IF(F49+SUM(E$17:E49)=D$10,F49,D$10-SUM(E$17:E49))</f>
        <v>426383.6084720433</v>
      </c>
      <c r="E50" s="482">
        <f t="shared" si="14"/>
        <v>50287.710512820515</v>
      </c>
      <c r="F50" s="483">
        <f t="shared" si="15"/>
        <v>376095.89795922278</v>
      </c>
      <c r="G50" s="484">
        <f t="shared" si="16"/>
        <v>98179.266418430285</v>
      </c>
      <c r="H50" s="453">
        <f t="shared" si="17"/>
        <v>98179.266418430285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 ht="12.5">
      <c r="B51" s="160" t="str">
        <f t="shared" si="7"/>
        <v/>
      </c>
      <c r="C51" s="470">
        <f>IF(D11="","-",+C50+1)</f>
        <v>2051</v>
      </c>
      <c r="D51" s="481">
        <f>IF(F50+SUM(E$17:E50)=D$10,F50,D$10-SUM(E$17:E50))</f>
        <v>376095.89795922278</v>
      </c>
      <c r="E51" s="482">
        <f t="shared" si="14"/>
        <v>50287.710512820515</v>
      </c>
      <c r="F51" s="483">
        <f t="shared" si="15"/>
        <v>325808.18744640227</v>
      </c>
      <c r="G51" s="484">
        <f t="shared" si="16"/>
        <v>92176.97806068731</v>
      </c>
      <c r="H51" s="453">
        <f t="shared" si="17"/>
        <v>92176.97806068731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 ht="12.5">
      <c r="B52" s="160" t="str">
        <f t="shared" si="7"/>
        <v/>
      </c>
      <c r="C52" s="470">
        <f>IF(D11="","-",+C51+1)</f>
        <v>2052</v>
      </c>
      <c r="D52" s="481">
        <f>IF(F51+SUM(E$17:E51)=D$10,F51,D$10-SUM(E$17:E51))</f>
        <v>325808.18744640227</v>
      </c>
      <c r="E52" s="482">
        <f t="shared" si="14"/>
        <v>50287.710512820515</v>
      </c>
      <c r="F52" s="483">
        <f t="shared" si="15"/>
        <v>275520.47693358175</v>
      </c>
      <c r="G52" s="484">
        <f t="shared" si="16"/>
        <v>86174.689702944306</v>
      </c>
      <c r="H52" s="453">
        <f t="shared" si="17"/>
        <v>86174.689702944306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 ht="12.5">
      <c r="B53" s="160" t="str">
        <f t="shared" si="7"/>
        <v/>
      </c>
      <c r="C53" s="470">
        <f>IF(D11="","-",+C52+1)</f>
        <v>2053</v>
      </c>
      <c r="D53" s="481">
        <f>IF(F52+SUM(E$17:E52)=D$10,F52,D$10-SUM(E$17:E52))</f>
        <v>275520.47693358175</v>
      </c>
      <c r="E53" s="482">
        <f t="shared" si="14"/>
        <v>50287.710512820515</v>
      </c>
      <c r="F53" s="483">
        <f t="shared" si="15"/>
        <v>225232.76642076124</v>
      </c>
      <c r="G53" s="484">
        <f t="shared" si="16"/>
        <v>80172.401345201331</v>
      </c>
      <c r="H53" s="453">
        <f t="shared" si="17"/>
        <v>80172.401345201331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 ht="12.5">
      <c r="B54" s="160" t="str">
        <f t="shared" si="7"/>
        <v/>
      </c>
      <c r="C54" s="470">
        <f>IF(D11="","-",+C53+1)</f>
        <v>2054</v>
      </c>
      <c r="D54" s="481">
        <f>IF(F53+SUM(E$17:E53)=D$10,F53,D$10-SUM(E$17:E53))</f>
        <v>225232.76642076124</v>
      </c>
      <c r="E54" s="482">
        <f t="shared" si="14"/>
        <v>50287.710512820515</v>
      </c>
      <c r="F54" s="483">
        <f t="shared" si="15"/>
        <v>174945.05590794072</v>
      </c>
      <c r="G54" s="484">
        <f t="shared" si="16"/>
        <v>74170.112987458328</v>
      </c>
      <c r="H54" s="453">
        <f t="shared" si="17"/>
        <v>74170.112987458328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 ht="12.5">
      <c r="B55" s="160" t="str">
        <f t="shared" si="7"/>
        <v/>
      </c>
      <c r="C55" s="470">
        <f>IF(D11="","-",+C54+1)</f>
        <v>2055</v>
      </c>
      <c r="D55" s="481">
        <f>IF(F54+SUM(E$17:E54)=D$10,F54,D$10-SUM(E$17:E54))</f>
        <v>174945.05590794072</v>
      </c>
      <c r="E55" s="482">
        <f t="shared" si="14"/>
        <v>50287.710512820515</v>
      </c>
      <c r="F55" s="483">
        <f t="shared" si="15"/>
        <v>124657.34539512021</v>
      </c>
      <c r="G55" s="484">
        <f t="shared" si="16"/>
        <v>68167.824629715353</v>
      </c>
      <c r="H55" s="453">
        <f t="shared" si="17"/>
        <v>68167.824629715353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 ht="12.5">
      <c r="B56" s="160" t="str">
        <f t="shared" si="7"/>
        <v/>
      </c>
      <c r="C56" s="470">
        <f>IF(D11="","-",+C55+1)</f>
        <v>2056</v>
      </c>
      <c r="D56" s="481">
        <f>IF(F55+SUM(E$17:E55)=D$10,F55,D$10-SUM(E$17:E55))</f>
        <v>124657.34539512021</v>
      </c>
      <c r="E56" s="482">
        <f t="shared" si="14"/>
        <v>50287.710512820515</v>
      </c>
      <c r="F56" s="483">
        <f t="shared" si="15"/>
        <v>74369.634882299695</v>
      </c>
      <c r="G56" s="484">
        <f t="shared" si="16"/>
        <v>62165.536271972356</v>
      </c>
      <c r="H56" s="453">
        <f t="shared" si="17"/>
        <v>62165.536271972356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 ht="12.5">
      <c r="B57" s="160" t="str">
        <f t="shared" si="7"/>
        <v/>
      </c>
      <c r="C57" s="470">
        <f>IF(D11="","-",+C56+1)</f>
        <v>2057</v>
      </c>
      <c r="D57" s="481">
        <f>IF(F56+SUM(E$17:E56)=D$10,F56,D$10-SUM(E$17:E56))</f>
        <v>74369.634882299695</v>
      </c>
      <c r="E57" s="482">
        <f t="shared" si="14"/>
        <v>50287.710512820515</v>
      </c>
      <c r="F57" s="483">
        <f t="shared" si="15"/>
        <v>24081.92436947918</v>
      </c>
      <c r="G57" s="484">
        <f t="shared" si="16"/>
        <v>56163.247914229367</v>
      </c>
      <c r="H57" s="453">
        <f t="shared" si="17"/>
        <v>56163.247914229367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 ht="12.5">
      <c r="B58" s="160" t="str">
        <f t="shared" si="7"/>
        <v/>
      </c>
      <c r="C58" s="470">
        <f>IF(D11="","-",+C57+1)</f>
        <v>2058</v>
      </c>
      <c r="D58" s="481">
        <f>IF(F57+SUM(E$17:E57)=D$10,F57,D$10-SUM(E$17:E57))</f>
        <v>24081.92436947918</v>
      </c>
      <c r="E58" s="482">
        <f t="shared" si="14"/>
        <v>24081.92436947918</v>
      </c>
      <c r="F58" s="483">
        <f t="shared" si="15"/>
        <v>0</v>
      </c>
      <c r="G58" s="484">
        <f t="shared" si="16"/>
        <v>25519.120980747859</v>
      </c>
      <c r="H58" s="453">
        <f t="shared" si="17"/>
        <v>25519.120980747859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 ht="12.5">
      <c r="B59" s="160" t="str">
        <f t="shared" si="7"/>
        <v/>
      </c>
      <c r="C59" s="470">
        <f>IF(D11="","-",+C58+1)</f>
        <v>2059</v>
      </c>
      <c r="D59" s="481">
        <f>IF(F58+SUM(E$17:E58)=D$10,F58,D$10-SUM(E$17:E58))</f>
        <v>0</v>
      </c>
      <c r="E59" s="482">
        <f t="shared" si="14"/>
        <v>0</v>
      </c>
      <c r="F59" s="483">
        <f t="shared" si="15"/>
        <v>0</v>
      </c>
      <c r="G59" s="484">
        <f t="shared" si="16"/>
        <v>0</v>
      </c>
      <c r="H59" s="453">
        <f t="shared" si="17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 ht="12.5">
      <c r="B60" s="160" t="str">
        <f t="shared" si="7"/>
        <v/>
      </c>
      <c r="C60" s="470">
        <f>IF(D11="","-",+C59+1)</f>
        <v>2060</v>
      </c>
      <c r="D60" s="481">
        <f>IF(F59+SUM(E$17:E59)=D$10,F59,D$10-SUM(E$17:E59))</f>
        <v>0</v>
      </c>
      <c r="E60" s="482">
        <f t="shared" si="14"/>
        <v>0</v>
      </c>
      <c r="F60" s="483">
        <f t="shared" si="15"/>
        <v>0</v>
      </c>
      <c r="G60" s="484">
        <f t="shared" si="16"/>
        <v>0</v>
      </c>
      <c r="H60" s="453">
        <f t="shared" si="17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 ht="12.5">
      <c r="B61" s="160" t="str">
        <f t="shared" si="7"/>
        <v/>
      </c>
      <c r="C61" s="470">
        <f>IF(D11="","-",+C60+1)</f>
        <v>2061</v>
      </c>
      <c r="D61" s="481">
        <f>IF(F60+SUM(E$17:E60)=D$10,F60,D$10-SUM(E$17:E60))</f>
        <v>0</v>
      </c>
      <c r="E61" s="482">
        <f t="shared" si="14"/>
        <v>0</v>
      </c>
      <c r="F61" s="483">
        <f t="shared" si="15"/>
        <v>0</v>
      </c>
      <c r="G61" s="484">
        <f t="shared" si="16"/>
        <v>0</v>
      </c>
      <c r="H61" s="453">
        <f t="shared" si="17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 ht="12.5">
      <c r="B62" s="160" t="str">
        <f t="shared" si="7"/>
        <v/>
      </c>
      <c r="C62" s="470">
        <f>IF(D11="","-",+C61+1)</f>
        <v>2062</v>
      </c>
      <c r="D62" s="481">
        <f>IF(F61+SUM(E$17:E61)=D$10,F61,D$10-SUM(E$17:E61))</f>
        <v>0</v>
      </c>
      <c r="E62" s="482">
        <f t="shared" si="14"/>
        <v>0</v>
      </c>
      <c r="F62" s="483">
        <f t="shared" si="15"/>
        <v>0</v>
      </c>
      <c r="G62" s="484">
        <f t="shared" si="16"/>
        <v>0</v>
      </c>
      <c r="H62" s="453">
        <f t="shared" si="17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 ht="12.5">
      <c r="B63" s="160" t="str">
        <f t="shared" si="7"/>
        <v/>
      </c>
      <c r="C63" s="470">
        <f>IF(D11="","-",+C62+1)</f>
        <v>2063</v>
      </c>
      <c r="D63" s="481">
        <f>IF(F62+SUM(E$17:E62)=D$10,F62,D$10-SUM(E$17:E62))</f>
        <v>0</v>
      </c>
      <c r="E63" s="482">
        <f t="shared" si="14"/>
        <v>0</v>
      </c>
      <c r="F63" s="483">
        <f t="shared" si="15"/>
        <v>0</v>
      </c>
      <c r="G63" s="484">
        <f t="shared" si="16"/>
        <v>0</v>
      </c>
      <c r="H63" s="453">
        <f t="shared" si="17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 ht="12.5">
      <c r="B64" s="160" t="str">
        <f t="shared" si="7"/>
        <v/>
      </c>
      <c r="C64" s="470">
        <f>IF(D11="","-",+C63+1)</f>
        <v>2064</v>
      </c>
      <c r="D64" s="481">
        <f>IF(F63+SUM(E$17:E63)=D$10,F63,D$10-SUM(E$17:E63))</f>
        <v>0</v>
      </c>
      <c r="E64" s="482">
        <f t="shared" si="14"/>
        <v>0</v>
      </c>
      <c r="F64" s="483">
        <f t="shared" si="15"/>
        <v>0</v>
      </c>
      <c r="G64" s="484">
        <f t="shared" si="16"/>
        <v>0</v>
      </c>
      <c r="H64" s="453">
        <f t="shared" si="17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 ht="12.5">
      <c r="B65" s="160" t="str">
        <f t="shared" si="7"/>
        <v/>
      </c>
      <c r="C65" s="470">
        <f>IF(D11="","-",+C64+1)</f>
        <v>2065</v>
      </c>
      <c r="D65" s="481">
        <f>IF(F64+SUM(E$17:E64)=D$10,F64,D$10-SUM(E$17:E64))</f>
        <v>0</v>
      </c>
      <c r="E65" s="482">
        <f t="shared" si="14"/>
        <v>0</v>
      </c>
      <c r="F65" s="483">
        <f t="shared" si="15"/>
        <v>0</v>
      </c>
      <c r="G65" s="484">
        <f t="shared" si="16"/>
        <v>0</v>
      </c>
      <c r="H65" s="453">
        <f t="shared" si="17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 ht="12.5">
      <c r="B66" s="160" t="str">
        <f t="shared" si="7"/>
        <v/>
      </c>
      <c r="C66" s="470">
        <f>IF(D11="","-",+C65+1)</f>
        <v>2066</v>
      </c>
      <c r="D66" s="481">
        <f>IF(F65+SUM(E$17:E65)=D$10,F65,D$10-SUM(E$17:E65))</f>
        <v>0</v>
      </c>
      <c r="E66" s="482">
        <f t="shared" si="14"/>
        <v>0</v>
      </c>
      <c r="F66" s="483">
        <f t="shared" si="15"/>
        <v>0</v>
      </c>
      <c r="G66" s="484">
        <f t="shared" si="16"/>
        <v>0</v>
      </c>
      <c r="H66" s="453">
        <f t="shared" si="17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 ht="12.5">
      <c r="B67" s="160" t="str">
        <f t="shared" si="7"/>
        <v/>
      </c>
      <c r="C67" s="470">
        <f>IF(D11="","-",+C66+1)</f>
        <v>2067</v>
      </c>
      <c r="D67" s="481">
        <f>IF(F66+SUM(E$17:E66)=D$10,F66,D$10-SUM(E$17:E66))</f>
        <v>0</v>
      </c>
      <c r="E67" s="482">
        <f t="shared" si="14"/>
        <v>0</v>
      </c>
      <c r="F67" s="483">
        <f t="shared" si="15"/>
        <v>0</v>
      </c>
      <c r="G67" s="484">
        <f t="shared" si="16"/>
        <v>0</v>
      </c>
      <c r="H67" s="453">
        <f t="shared" si="17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 ht="12.5">
      <c r="B68" s="160" t="str">
        <f t="shared" si="7"/>
        <v/>
      </c>
      <c r="C68" s="470">
        <f>IF(D11="","-",+C67+1)</f>
        <v>2068</v>
      </c>
      <c r="D68" s="481">
        <f>IF(F67+SUM(E$17:E67)=D$10,F67,D$10-SUM(E$17:E67))</f>
        <v>0</v>
      </c>
      <c r="E68" s="482">
        <f t="shared" si="14"/>
        <v>0</v>
      </c>
      <c r="F68" s="483">
        <f t="shared" si="15"/>
        <v>0</v>
      </c>
      <c r="G68" s="484">
        <f t="shared" si="16"/>
        <v>0</v>
      </c>
      <c r="H68" s="453">
        <f t="shared" si="17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 ht="12.5">
      <c r="B69" s="160" t="str">
        <f t="shared" si="7"/>
        <v/>
      </c>
      <c r="C69" s="470">
        <f>IF(D11="","-",+C68+1)</f>
        <v>2069</v>
      </c>
      <c r="D69" s="481">
        <f>IF(F68+SUM(E$17:E68)=D$10,F68,D$10-SUM(E$17:E68))</f>
        <v>0</v>
      </c>
      <c r="E69" s="482">
        <f t="shared" si="14"/>
        <v>0</v>
      </c>
      <c r="F69" s="483">
        <f t="shared" si="15"/>
        <v>0</v>
      </c>
      <c r="G69" s="484">
        <f t="shared" si="16"/>
        <v>0</v>
      </c>
      <c r="H69" s="453">
        <f t="shared" si="17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 ht="12.5">
      <c r="B70" s="160" t="str">
        <f t="shared" si="7"/>
        <v/>
      </c>
      <c r="C70" s="470">
        <f>IF(D11="","-",+C69+1)</f>
        <v>2070</v>
      </c>
      <c r="D70" s="481">
        <f>IF(F69+SUM(E$17:E69)=D$10,F69,D$10-SUM(E$17:E69))</f>
        <v>0</v>
      </c>
      <c r="E70" s="482">
        <f t="shared" si="14"/>
        <v>0</v>
      </c>
      <c r="F70" s="483">
        <f t="shared" si="15"/>
        <v>0</v>
      </c>
      <c r="G70" s="484">
        <f t="shared" si="16"/>
        <v>0</v>
      </c>
      <c r="H70" s="453">
        <f t="shared" si="17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 ht="12.5">
      <c r="B71" s="160" t="str">
        <f t="shared" si="7"/>
        <v/>
      </c>
      <c r="C71" s="470">
        <f>IF(D11="","-",+C70+1)</f>
        <v>2071</v>
      </c>
      <c r="D71" s="481">
        <f>IF(F70+SUM(E$17:E70)=D$10,F70,D$10-SUM(E$17:E70))</f>
        <v>0</v>
      </c>
      <c r="E71" s="482">
        <f t="shared" si="14"/>
        <v>0</v>
      </c>
      <c r="F71" s="483">
        <f t="shared" si="15"/>
        <v>0</v>
      </c>
      <c r="G71" s="484">
        <f t="shared" si="16"/>
        <v>0</v>
      </c>
      <c r="H71" s="453">
        <f t="shared" si="17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2072</v>
      </c>
      <c r="D72" s="609">
        <f>IF(F71+SUM(E$17:E71)=D$10,F71,D$10-SUM(E$17:E71))</f>
        <v>0</v>
      </c>
      <c r="E72" s="489">
        <f t="shared" si="14"/>
        <v>0</v>
      </c>
      <c r="F72" s="488">
        <f t="shared" si="15"/>
        <v>0</v>
      </c>
      <c r="G72" s="542">
        <f t="shared" si="16"/>
        <v>0</v>
      </c>
      <c r="H72" s="433">
        <f t="shared" si="17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 ht="12.5">
      <c r="C73" s="345" t="s">
        <v>77</v>
      </c>
      <c r="D73" s="346"/>
      <c r="E73" s="346">
        <f>SUM(E17:E72)</f>
        <v>1961220.7100000004</v>
      </c>
      <c r="F73" s="346"/>
      <c r="G73" s="346">
        <f>SUM(G17:G72)</f>
        <v>6558905.8578053657</v>
      </c>
      <c r="H73" s="346">
        <f>SUM(H17:H72)</f>
        <v>6558905.8578053657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20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260241.05207749119</v>
      </c>
      <c r="N87" s="506">
        <f>IF(J92&lt;D11,0,VLOOKUP(J92,C17:O72,11))</f>
        <v>260241.05207749119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250805.52777728185</v>
      </c>
      <c r="N88" s="510">
        <f>IF(J92&lt;D11,0,VLOOKUP(J92,C99:P154,7))</f>
        <v>250805.52777728185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Sayre 138 kV Capacitor Bank Addition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-9435.5243002093339</v>
      </c>
      <c r="N89" s="515">
        <f>+N88-N87</f>
        <v>-9435.5243002093339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TP2015202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1961220.7100000002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12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51611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2018</v>
      </c>
      <c r="D99" s="582">
        <v>0</v>
      </c>
      <c r="E99" s="605">
        <v>0</v>
      </c>
      <c r="F99" s="582">
        <v>1140000</v>
      </c>
      <c r="G99" s="605">
        <v>570000</v>
      </c>
      <c r="H99" s="585">
        <v>72305.937255510624</v>
      </c>
      <c r="I99" s="604">
        <v>72305.937255510624</v>
      </c>
      <c r="J99" s="476">
        <f t="shared" ref="J99:J130" si="18">+I99-H99</f>
        <v>0</v>
      </c>
      <c r="K99" s="476"/>
      <c r="L99" s="475">
        <f>+H99</f>
        <v>72305.937255510624</v>
      </c>
      <c r="M99" s="475">
        <f t="shared" ref="M99:M130" si="19">IF(L99&lt;&gt;0,+H99-L99,0)</f>
        <v>0</v>
      </c>
      <c r="N99" s="475">
        <f>+I99</f>
        <v>72305.937255510624</v>
      </c>
      <c r="O99" s="475">
        <f t="shared" ref="O99:O130" si="20">IF(N99&lt;&gt;0,+I99-N99,0)</f>
        <v>0</v>
      </c>
      <c r="P99" s="475">
        <f t="shared" ref="P99:P130" si="21">+O99-M99</f>
        <v>0</v>
      </c>
    </row>
    <row r="100" spans="1:16" ht="12.5">
      <c r="B100" s="160" t="str">
        <f>IF(D100=F99,"","IU")</f>
        <v>IU</v>
      </c>
      <c r="C100" s="470">
        <f>IF(D93="","-",+C99+1)</f>
        <v>2019</v>
      </c>
      <c r="D100" s="582">
        <v>1961221</v>
      </c>
      <c r="E100" s="583">
        <v>47835</v>
      </c>
      <c r="F100" s="584">
        <v>1913386</v>
      </c>
      <c r="G100" s="584">
        <v>1937303.5</v>
      </c>
      <c r="H100" s="603">
        <v>247598.16362509641</v>
      </c>
      <c r="I100" s="604">
        <v>247598.16362509641</v>
      </c>
      <c r="J100" s="476">
        <f t="shared" si="18"/>
        <v>0</v>
      </c>
      <c r="K100" s="476"/>
      <c r="L100" s="474">
        <f>H100</f>
        <v>247598.16362509641</v>
      </c>
      <c r="M100" s="347">
        <f>IF(L100&lt;&gt;0,+H100-L100,0)</f>
        <v>0</v>
      </c>
      <c r="N100" s="474">
        <f>I100</f>
        <v>247598.16362509641</v>
      </c>
      <c r="O100" s="473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22">IF(D101=F100,"","IU")</f>
        <v/>
      </c>
      <c r="C101" s="470">
        <f>IF(D93="","-",+C100+1)</f>
        <v>2020</v>
      </c>
      <c r="D101" s="582">
        <v>1913386</v>
      </c>
      <c r="E101" s="583">
        <v>45610</v>
      </c>
      <c r="F101" s="584">
        <v>1867776</v>
      </c>
      <c r="G101" s="584">
        <v>1890581</v>
      </c>
      <c r="H101" s="603">
        <v>263588.79157611891</v>
      </c>
      <c r="I101" s="604">
        <v>263588.79157611891</v>
      </c>
      <c r="J101" s="476">
        <f t="shared" si="18"/>
        <v>0</v>
      </c>
      <c r="K101" s="476"/>
      <c r="L101" s="474">
        <f>H101</f>
        <v>263588.79157611891</v>
      </c>
      <c r="M101" s="347">
        <f>IF(L101&lt;&gt;0,+H101-L101,0)</f>
        <v>0</v>
      </c>
      <c r="N101" s="474">
        <f>I101</f>
        <v>263588.79157611891</v>
      </c>
      <c r="O101" s="476">
        <f t="shared" si="20"/>
        <v>0</v>
      </c>
      <c r="P101" s="476">
        <f t="shared" si="21"/>
        <v>0</v>
      </c>
    </row>
    <row r="102" spans="1:16" ht="12.5">
      <c r="B102" s="160" t="str">
        <f t="shared" si="22"/>
        <v/>
      </c>
      <c r="C102" s="470">
        <f>IF(D93="","-",+C101+1)</f>
        <v>2021</v>
      </c>
      <c r="D102" s="582">
        <v>1867776</v>
      </c>
      <c r="E102" s="583">
        <v>47835</v>
      </c>
      <c r="F102" s="584">
        <v>1819941</v>
      </c>
      <c r="G102" s="584">
        <v>1843858.5</v>
      </c>
      <c r="H102" s="603">
        <v>257652.80866980529</v>
      </c>
      <c r="I102" s="604">
        <v>257652.80866980529</v>
      </c>
      <c r="J102" s="476">
        <f t="shared" si="18"/>
        <v>0</v>
      </c>
      <c r="K102" s="476"/>
      <c r="L102" s="474">
        <f>H102</f>
        <v>257652.80866980529</v>
      </c>
      <c r="M102" s="347">
        <f>IF(L102&lt;&gt;0,+H102-L102,0)</f>
        <v>0</v>
      </c>
      <c r="N102" s="474">
        <f>I102</f>
        <v>257652.80866980529</v>
      </c>
      <c r="O102" s="476">
        <f t="shared" si="20"/>
        <v>0</v>
      </c>
      <c r="P102" s="476">
        <f t="shared" si="21"/>
        <v>0</v>
      </c>
    </row>
    <row r="103" spans="1:16" ht="12.5">
      <c r="B103" s="160" t="str">
        <f t="shared" si="22"/>
        <v/>
      </c>
      <c r="C103" s="470">
        <f>IF(D93="","-",+C102+1)</f>
        <v>2022</v>
      </c>
      <c r="D103" s="582">
        <v>1819941</v>
      </c>
      <c r="E103" s="583">
        <v>50288</v>
      </c>
      <c r="F103" s="584">
        <v>1769653</v>
      </c>
      <c r="G103" s="584">
        <v>1794797</v>
      </c>
      <c r="H103" s="603">
        <v>248043.4948332576</v>
      </c>
      <c r="I103" s="604">
        <v>248043.4948332576</v>
      </c>
      <c r="J103" s="476">
        <f t="shared" si="18"/>
        <v>0</v>
      </c>
      <c r="K103" s="476"/>
      <c r="L103" s="474">
        <f>H103</f>
        <v>248043.4948332576</v>
      </c>
      <c r="M103" s="347">
        <f>IF(L103&lt;&gt;0,+H103-L103,0)</f>
        <v>0</v>
      </c>
      <c r="N103" s="474">
        <f>I103</f>
        <v>248043.4948332576</v>
      </c>
      <c r="O103" s="476">
        <f t="shared" ref="O103" si="23">IF(N103&lt;&gt;0,+I103-N103,0)</f>
        <v>0</v>
      </c>
      <c r="P103" s="476">
        <f t="shared" ref="P103" si="24">+O103-M103</f>
        <v>0</v>
      </c>
    </row>
    <row r="104" spans="1:16" ht="12.5">
      <c r="B104" s="160" t="str">
        <f t="shared" si="22"/>
        <v>IU</v>
      </c>
      <c r="C104" s="470">
        <f>IF(D93="","-",+C103+1)</f>
        <v>2023</v>
      </c>
      <c r="D104" s="345">
        <f>IF(F103+SUM(E$99:E103)=D$92,F103,D$92-SUM(E$99:E103))</f>
        <v>1769652.7100000002</v>
      </c>
      <c r="E104" s="482">
        <f t="shared" ref="E104:E154" si="25">IF(+J$96&lt;F103,J$96,D104)</f>
        <v>51611</v>
      </c>
      <c r="F104" s="483">
        <f t="shared" ref="F104:F154" si="26">+D104-E104</f>
        <v>1718041.7100000002</v>
      </c>
      <c r="G104" s="483">
        <f t="shared" ref="G104:G154" si="27">+(F104+D104)/2</f>
        <v>1743847.2100000002</v>
      </c>
      <c r="H104" s="484">
        <f t="shared" ref="H104:H153" si="28">(D104+F104)/2*J$94+E104</f>
        <v>250805.52777728185</v>
      </c>
      <c r="I104" s="540">
        <f t="shared" ref="I104:I153" si="29">+J$95*G104+E104</f>
        <v>250805.52777728185</v>
      </c>
      <c r="J104" s="476">
        <f t="shared" si="18"/>
        <v>0</v>
      </c>
      <c r="K104" s="476"/>
      <c r="L104" s="485"/>
      <c r="M104" s="476">
        <f t="shared" si="19"/>
        <v>0</v>
      </c>
      <c r="N104" s="485"/>
      <c r="O104" s="476">
        <f t="shared" si="20"/>
        <v>0</v>
      </c>
      <c r="P104" s="476">
        <f t="shared" si="21"/>
        <v>0</v>
      </c>
    </row>
    <row r="105" spans="1:16" ht="12.5">
      <c r="B105" s="160" t="str">
        <f t="shared" si="22"/>
        <v/>
      </c>
      <c r="C105" s="470">
        <f>IF(D93="","-",+C104+1)</f>
        <v>2024</v>
      </c>
      <c r="D105" s="345">
        <f>IF(F104+SUM(E$99:E104)=D$92,F104,D$92-SUM(E$99:E104))</f>
        <v>1718041.7100000002</v>
      </c>
      <c r="E105" s="482">
        <f t="shared" si="25"/>
        <v>51611</v>
      </c>
      <c r="F105" s="483">
        <f t="shared" si="26"/>
        <v>1666430.7100000002</v>
      </c>
      <c r="G105" s="483">
        <f t="shared" si="27"/>
        <v>1692236.2100000002</v>
      </c>
      <c r="H105" s="484">
        <f t="shared" si="28"/>
        <v>244910.15534203663</v>
      </c>
      <c r="I105" s="540">
        <f t="shared" si="29"/>
        <v>244910.15534203663</v>
      </c>
      <c r="J105" s="476">
        <f t="shared" si="18"/>
        <v>0</v>
      </c>
      <c r="K105" s="476"/>
      <c r="L105" s="485"/>
      <c r="M105" s="476">
        <f t="shared" si="19"/>
        <v>0</v>
      </c>
      <c r="N105" s="485"/>
      <c r="O105" s="476">
        <f t="shared" si="20"/>
        <v>0</v>
      </c>
      <c r="P105" s="476">
        <f t="shared" si="21"/>
        <v>0</v>
      </c>
    </row>
    <row r="106" spans="1:16" ht="12.5">
      <c r="B106" s="160" t="str">
        <f t="shared" si="22"/>
        <v/>
      </c>
      <c r="C106" s="470">
        <f>IF(D93="","-",+C105+1)</f>
        <v>2025</v>
      </c>
      <c r="D106" s="345">
        <f>IF(F105+SUM(E$99:E105)=D$92,F105,D$92-SUM(E$99:E105))</f>
        <v>1666430.7100000002</v>
      </c>
      <c r="E106" s="482">
        <f t="shared" si="25"/>
        <v>51611</v>
      </c>
      <c r="F106" s="483">
        <f t="shared" si="26"/>
        <v>1614819.7100000002</v>
      </c>
      <c r="G106" s="483">
        <f t="shared" si="27"/>
        <v>1640625.2100000002</v>
      </c>
      <c r="H106" s="484">
        <f t="shared" si="28"/>
        <v>239014.7829067914</v>
      </c>
      <c r="I106" s="540">
        <f t="shared" si="29"/>
        <v>239014.7829067914</v>
      </c>
      <c r="J106" s="476">
        <f t="shared" si="18"/>
        <v>0</v>
      </c>
      <c r="K106" s="476"/>
      <c r="L106" s="485"/>
      <c r="M106" s="476">
        <f t="shared" si="19"/>
        <v>0</v>
      </c>
      <c r="N106" s="485"/>
      <c r="O106" s="476">
        <f t="shared" si="20"/>
        <v>0</v>
      </c>
      <c r="P106" s="476">
        <f t="shared" si="21"/>
        <v>0</v>
      </c>
    </row>
    <row r="107" spans="1:16" ht="12.5">
      <c r="B107" s="160" t="str">
        <f t="shared" si="22"/>
        <v/>
      </c>
      <c r="C107" s="470">
        <f>IF(D93="","-",+C106+1)</f>
        <v>2026</v>
      </c>
      <c r="D107" s="345">
        <f>IF(F106+SUM(E$99:E106)=D$92,F106,D$92-SUM(E$99:E106))</f>
        <v>1614819.7100000002</v>
      </c>
      <c r="E107" s="482">
        <f t="shared" si="25"/>
        <v>51611</v>
      </c>
      <c r="F107" s="483">
        <f t="shared" si="26"/>
        <v>1563208.7100000002</v>
      </c>
      <c r="G107" s="483">
        <f t="shared" si="27"/>
        <v>1589014.2100000002</v>
      </c>
      <c r="H107" s="484">
        <f t="shared" si="28"/>
        <v>233119.41047154617</v>
      </c>
      <c r="I107" s="540">
        <f t="shared" si="29"/>
        <v>233119.41047154617</v>
      </c>
      <c r="J107" s="476">
        <f t="shared" si="18"/>
        <v>0</v>
      </c>
      <c r="K107" s="476"/>
      <c r="L107" s="485"/>
      <c r="M107" s="476">
        <f t="shared" si="19"/>
        <v>0</v>
      </c>
      <c r="N107" s="485"/>
      <c r="O107" s="476">
        <f t="shared" si="20"/>
        <v>0</v>
      </c>
      <c r="P107" s="476">
        <f t="shared" si="21"/>
        <v>0</v>
      </c>
    </row>
    <row r="108" spans="1:16" ht="12.5">
      <c r="B108" s="160" t="str">
        <f t="shared" si="22"/>
        <v/>
      </c>
      <c r="C108" s="470">
        <f>IF(D93="","-",+C107+1)</f>
        <v>2027</v>
      </c>
      <c r="D108" s="345">
        <f>IF(F107+SUM(E$99:E107)=D$92,F107,D$92-SUM(E$99:E107))</f>
        <v>1563208.7100000002</v>
      </c>
      <c r="E108" s="482">
        <f t="shared" si="25"/>
        <v>51611</v>
      </c>
      <c r="F108" s="483">
        <f t="shared" si="26"/>
        <v>1511597.7100000002</v>
      </c>
      <c r="G108" s="483">
        <f t="shared" si="27"/>
        <v>1537403.2100000002</v>
      </c>
      <c r="H108" s="484">
        <f t="shared" si="28"/>
        <v>227224.03803630095</v>
      </c>
      <c r="I108" s="540">
        <f t="shared" si="29"/>
        <v>227224.03803630095</v>
      </c>
      <c r="J108" s="476">
        <f t="shared" si="18"/>
        <v>0</v>
      </c>
      <c r="K108" s="476"/>
      <c r="L108" s="485"/>
      <c r="M108" s="476">
        <f t="shared" si="19"/>
        <v>0</v>
      </c>
      <c r="N108" s="485"/>
      <c r="O108" s="476">
        <f t="shared" si="20"/>
        <v>0</v>
      </c>
      <c r="P108" s="476">
        <f t="shared" si="21"/>
        <v>0</v>
      </c>
    </row>
    <row r="109" spans="1:16" ht="12.5">
      <c r="B109" s="160" t="str">
        <f t="shared" si="22"/>
        <v/>
      </c>
      <c r="C109" s="470">
        <f>IF(D93="","-",+C108+1)</f>
        <v>2028</v>
      </c>
      <c r="D109" s="345">
        <f>IF(F108+SUM(E$99:E108)=D$92,F108,D$92-SUM(E$99:E108))</f>
        <v>1511597.7100000002</v>
      </c>
      <c r="E109" s="482">
        <f t="shared" si="25"/>
        <v>51611</v>
      </c>
      <c r="F109" s="483">
        <f t="shared" si="26"/>
        <v>1459986.7100000002</v>
      </c>
      <c r="G109" s="483">
        <f t="shared" si="27"/>
        <v>1485792.2100000002</v>
      </c>
      <c r="H109" s="484">
        <f t="shared" si="28"/>
        <v>221328.66560105572</v>
      </c>
      <c r="I109" s="540">
        <f t="shared" si="29"/>
        <v>221328.66560105572</v>
      </c>
      <c r="J109" s="476">
        <f t="shared" si="18"/>
        <v>0</v>
      </c>
      <c r="K109" s="476"/>
      <c r="L109" s="485"/>
      <c r="M109" s="476">
        <f t="shared" si="19"/>
        <v>0</v>
      </c>
      <c r="N109" s="485"/>
      <c r="O109" s="476">
        <f t="shared" si="20"/>
        <v>0</v>
      </c>
      <c r="P109" s="476">
        <f t="shared" si="21"/>
        <v>0</v>
      </c>
    </row>
    <row r="110" spans="1:16" ht="12.5">
      <c r="B110" s="160" t="str">
        <f t="shared" si="22"/>
        <v/>
      </c>
      <c r="C110" s="470">
        <f>IF(D93="","-",+C109+1)</f>
        <v>2029</v>
      </c>
      <c r="D110" s="345">
        <f>IF(F109+SUM(E$99:E109)=D$92,F109,D$92-SUM(E$99:E109))</f>
        <v>1459986.7100000002</v>
      </c>
      <c r="E110" s="482">
        <f t="shared" si="25"/>
        <v>51611</v>
      </c>
      <c r="F110" s="483">
        <f t="shared" si="26"/>
        <v>1408375.7100000002</v>
      </c>
      <c r="G110" s="483">
        <f t="shared" si="27"/>
        <v>1434181.2100000002</v>
      </c>
      <c r="H110" s="484">
        <f t="shared" si="28"/>
        <v>215433.29316581049</v>
      </c>
      <c r="I110" s="540">
        <f t="shared" si="29"/>
        <v>215433.29316581049</v>
      </c>
      <c r="J110" s="476">
        <f t="shared" si="18"/>
        <v>0</v>
      </c>
      <c r="K110" s="476"/>
      <c r="L110" s="485"/>
      <c r="M110" s="476">
        <f t="shared" si="19"/>
        <v>0</v>
      </c>
      <c r="N110" s="485"/>
      <c r="O110" s="476">
        <f t="shared" si="20"/>
        <v>0</v>
      </c>
      <c r="P110" s="476">
        <f t="shared" si="21"/>
        <v>0</v>
      </c>
    </row>
    <row r="111" spans="1:16" ht="12.5">
      <c r="B111" s="160" t="str">
        <f t="shared" si="22"/>
        <v/>
      </c>
      <c r="C111" s="470">
        <f>IF(D93="","-",+C110+1)</f>
        <v>2030</v>
      </c>
      <c r="D111" s="345">
        <f>IF(F110+SUM(E$99:E110)=D$92,F110,D$92-SUM(E$99:E110))</f>
        <v>1408375.7100000002</v>
      </c>
      <c r="E111" s="482">
        <f t="shared" si="25"/>
        <v>51611</v>
      </c>
      <c r="F111" s="483">
        <f t="shared" si="26"/>
        <v>1356764.7100000002</v>
      </c>
      <c r="G111" s="483">
        <f t="shared" si="27"/>
        <v>1382570.2100000002</v>
      </c>
      <c r="H111" s="484">
        <f t="shared" si="28"/>
        <v>209537.9207305653</v>
      </c>
      <c r="I111" s="540">
        <f t="shared" si="29"/>
        <v>209537.9207305653</v>
      </c>
      <c r="J111" s="476">
        <f t="shared" si="18"/>
        <v>0</v>
      </c>
      <c r="K111" s="476"/>
      <c r="L111" s="485"/>
      <c r="M111" s="476">
        <f t="shared" si="19"/>
        <v>0</v>
      </c>
      <c r="N111" s="485"/>
      <c r="O111" s="476">
        <f t="shared" si="20"/>
        <v>0</v>
      </c>
      <c r="P111" s="476">
        <f t="shared" si="21"/>
        <v>0</v>
      </c>
    </row>
    <row r="112" spans="1:16" ht="12.5">
      <c r="B112" s="160" t="str">
        <f t="shared" si="22"/>
        <v/>
      </c>
      <c r="C112" s="470">
        <f>IF(D93="","-",+C111+1)</f>
        <v>2031</v>
      </c>
      <c r="D112" s="345">
        <f>IF(F111+SUM(E$99:E111)=D$92,F111,D$92-SUM(E$99:E111))</f>
        <v>1356764.7100000002</v>
      </c>
      <c r="E112" s="482">
        <f t="shared" si="25"/>
        <v>51611</v>
      </c>
      <c r="F112" s="483">
        <f t="shared" si="26"/>
        <v>1305153.7100000002</v>
      </c>
      <c r="G112" s="483">
        <f t="shared" si="27"/>
        <v>1330959.2100000002</v>
      </c>
      <c r="H112" s="484">
        <f t="shared" si="28"/>
        <v>203642.54829532007</v>
      </c>
      <c r="I112" s="540">
        <f t="shared" si="29"/>
        <v>203642.54829532007</v>
      </c>
      <c r="J112" s="476">
        <f t="shared" si="18"/>
        <v>0</v>
      </c>
      <c r="K112" s="476"/>
      <c r="L112" s="485"/>
      <c r="M112" s="476">
        <f t="shared" si="19"/>
        <v>0</v>
      </c>
      <c r="N112" s="485"/>
      <c r="O112" s="476">
        <f t="shared" si="20"/>
        <v>0</v>
      </c>
      <c r="P112" s="476">
        <f t="shared" si="21"/>
        <v>0</v>
      </c>
    </row>
    <row r="113" spans="2:16" ht="12.5">
      <c r="B113" s="160" t="str">
        <f t="shared" si="22"/>
        <v/>
      </c>
      <c r="C113" s="470">
        <f>IF(D93="","-",+C112+1)</f>
        <v>2032</v>
      </c>
      <c r="D113" s="345">
        <f>IF(F112+SUM(E$99:E112)=D$92,F112,D$92-SUM(E$99:E112))</f>
        <v>1305153.7100000002</v>
      </c>
      <c r="E113" s="482">
        <f t="shared" si="25"/>
        <v>51611</v>
      </c>
      <c r="F113" s="483">
        <f t="shared" si="26"/>
        <v>1253542.7100000002</v>
      </c>
      <c r="G113" s="483">
        <f t="shared" si="27"/>
        <v>1279348.2100000002</v>
      </c>
      <c r="H113" s="484">
        <f t="shared" si="28"/>
        <v>197747.17586007484</v>
      </c>
      <c r="I113" s="540">
        <f t="shared" si="29"/>
        <v>197747.17586007484</v>
      </c>
      <c r="J113" s="476">
        <f t="shared" si="18"/>
        <v>0</v>
      </c>
      <c r="K113" s="476"/>
      <c r="L113" s="485"/>
      <c r="M113" s="476">
        <f t="shared" si="19"/>
        <v>0</v>
      </c>
      <c r="N113" s="485"/>
      <c r="O113" s="476">
        <f t="shared" si="20"/>
        <v>0</v>
      </c>
      <c r="P113" s="476">
        <f t="shared" si="21"/>
        <v>0</v>
      </c>
    </row>
    <row r="114" spans="2:16" ht="12.5">
      <c r="B114" s="160" t="str">
        <f t="shared" si="22"/>
        <v/>
      </c>
      <c r="C114" s="470">
        <f>IF(D93="","-",+C113+1)</f>
        <v>2033</v>
      </c>
      <c r="D114" s="345">
        <f>IF(F113+SUM(E$99:E113)=D$92,F113,D$92-SUM(E$99:E113))</f>
        <v>1253542.7100000002</v>
      </c>
      <c r="E114" s="482">
        <f t="shared" si="25"/>
        <v>51611</v>
      </c>
      <c r="F114" s="483">
        <f t="shared" si="26"/>
        <v>1201931.7100000002</v>
      </c>
      <c r="G114" s="483">
        <f t="shared" si="27"/>
        <v>1227737.2100000002</v>
      </c>
      <c r="H114" s="484">
        <f t="shared" si="28"/>
        <v>191851.80342482962</v>
      </c>
      <c r="I114" s="540">
        <f t="shared" si="29"/>
        <v>191851.80342482962</v>
      </c>
      <c r="J114" s="476">
        <f t="shared" si="18"/>
        <v>0</v>
      </c>
      <c r="K114" s="476"/>
      <c r="L114" s="485"/>
      <c r="M114" s="476">
        <f t="shared" si="19"/>
        <v>0</v>
      </c>
      <c r="N114" s="485"/>
      <c r="O114" s="476">
        <f t="shared" si="20"/>
        <v>0</v>
      </c>
      <c r="P114" s="476">
        <f t="shared" si="21"/>
        <v>0</v>
      </c>
    </row>
    <row r="115" spans="2:16" ht="12.5">
      <c r="B115" s="160" t="str">
        <f t="shared" si="22"/>
        <v/>
      </c>
      <c r="C115" s="470">
        <f>IF(D93="","-",+C114+1)</f>
        <v>2034</v>
      </c>
      <c r="D115" s="345">
        <f>IF(F114+SUM(E$99:E114)=D$92,F114,D$92-SUM(E$99:E114))</f>
        <v>1201931.7100000002</v>
      </c>
      <c r="E115" s="482">
        <f t="shared" si="25"/>
        <v>51611</v>
      </c>
      <c r="F115" s="483">
        <f t="shared" si="26"/>
        <v>1150320.7100000002</v>
      </c>
      <c r="G115" s="483">
        <f t="shared" si="27"/>
        <v>1176126.2100000002</v>
      </c>
      <c r="H115" s="484">
        <f t="shared" si="28"/>
        <v>185956.43098958439</v>
      </c>
      <c r="I115" s="540">
        <f t="shared" si="29"/>
        <v>185956.43098958439</v>
      </c>
      <c r="J115" s="476">
        <f t="shared" si="18"/>
        <v>0</v>
      </c>
      <c r="K115" s="476"/>
      <c r="L115" s="485"/>
      <c r="M115" s="476">
        <f t="shared" si="19"/>
        <v>0</v>
      </c>
      <c r="N115" s="485"/>
      <c r="O115" s="476">
        <f t="shared" si="20"/>
        <v>0</v>
      </c>
      <c r="P115" s="476">
        <f t="shared" si="21"/>
        <v>0</v>
      </c>
    </row>
    <row r="116" spans="2:16" ht="12.5">
      <c r="B116" s="160" t="str">
        <f t="shared" si="22"/>
        <v/>
      </c>
      <c r="C116" s="470">
        <f>IF(D93="","-",+C115+1)</f>
        <v>2035</v>
      </c>
      <c r="D116" s="345">
        <f>IF(F115+SUM(E$99:E115)=D$92,F115,D$92-SUM(E$99:E115))</f>
        <v>1150320.7100000002</v>
      </c>
      <c r="E116" s="482">
        <f t="shared" si="25"/>
        <v>51611</v>
      </c>
      <c r="F116" s="483">
        <f t="shared" si="26"/>
        <v>1098709.7100000002</v>
      </c>
      <c r="G116" s="483">
        <f t="shared" si="27"/>
        <v>1124515.2100000002</v>
      </c>
      <c r="H116" s="484">
        <f t="shared" si="28"/>
        <v>180061.05855433916</v>
      </c>
      <c r="I116" s="540">
        <f t="shared" si="29"/>
        <v>180061.05855433916</v>
      </c>
      <c r="J116" s="476">
        <f t="shared" si="18"/>
        <v>0</v>
      </c>
      <c r="K116" s="476"/>
      <c r="L116" s="485"/>
      <c r="M116" s="476">
        <f t="shared" si="19"/>
        <v>0</v>
      </c>
      <c r="N116" s="485"/>
      <c r="O116" s="476">
        <f t="shared" si="20"/>
        <v>0</v>
      </c>
      <c r="P116" s="476">
        <f t="shared" si="21"/>
        <v>0</v>
      </c>
    </row>
    <row r="117" spans="2:16" ht="12.5">
      <c r="B117" s="160" t="str">
        <f t="shared" si="22"/>
        <v/>
      </c>
      <c r="C117" s="470">
        <f>IF(D93="","-",+C116+1)</f>
        <v>2036</v>
      </c>
      <c r="D117" s="345">
        <f>IF(F116+SUM(E$99:E116)=D$92,F116,D$92-SUM(E$99:E116))</f>
        <v>1098709.7100000002</v>
      </c>
      <c r="E117" s="482">
        <f t="shared" si="25"/>
        <v>51611</v>
      </c>
      <c r="F117" s="483">
        <f t="shared" si="26"/>
        <v>1047098.7100000002</v>
      </c>
      <c r="G117" s="483">
        <f t="shared" si="27"/>
        <v>1072904.2100000002</v>
      </c>
      <c r="H117" s="484">
        <f t="shared" si="28"/>
        <v>174165.68611909391</v>
      </c>
      <c r="I117" s="540">
        <f t="shared" si="29"/>
        <v>174165.68611909391</v>
      </c>
      <c r="J117" s="476">
        <f t="shared" si="18"/>
        <v>0</v>
      </c>
      <c r="K117" s="476"/>
      <c r="L117" s="485"/>
      <c r="M117" s="476">
        <f t="shared" si="19"/>
        <v>0</v>
      </c>
      <c r="N117" s="485"/>
      <c r="O117" s="476">
        <f t="shared" si="20"/>
        <v>0</v>
      </c>
      <c r="P117" s="476">
        <f t="shared" si="21"/>
        <v>0</v>
      </c>
    </row>
    <row r="118" spans="2:16" ht="12.5">
      <c r="B118" s="160" t="str">
        <f t="shared" si="22"/>
        <v/>
      </c>
      <c r="C118" s="470">
        <f>IF(D93="","-",+C117+1)</f>
        <v>2037</v>
      </c>
      <c r="D118" s="345">
        <f>IF(F117+SUM(E$99:E117)=D$92,F117,D$92-SUM(E$99:E117))</f>
        <v>1047098.7100000002</v>
      </c>
      <c r="E118" s="482">
        <f t="shared" si="25"/>
        <v>51611</v>
      </c>
      <c r="F118" s="483">
        <f t="shared" si="26"/>
        <v>995487.7100000002</v>
      </c>
      <c r="G118" s="483">
        <f t="shared" si="27"/>
        <v>1021293.2100000002</v>
      </c>
      <c r="H118" s="484">
        <f t="shared" si="28"/>
        <v>168270.31368384871</v>
      </c>
      <c r="I118" s="540">
        <f t="shared" si="29"/>
        <v>168270.31368384871</v>
      </c>
      <c r="J118" s="476">
        <f t="shared" si="18"/>
        <v>0</v>
      </c>
      <c r="K118" s="476"/>
      <c r="L118" s="485"/>
      <c r="M118" s="476">
        <f t="shared" si="19"/>
        <v>0</v>
      </c>
      <c r="N118" s="485"/>
      <c r="O118" s="476">
        <f t="shared" si="20"/>
        <v>0</v>
      </c>
      <c r="P118" s="476">
        <f t="shared" si="21"/>
        <v>0</v>
      </c>
    </row>
    <row r="119" spans="2:16" ht="12.5">
      <c r="B119" s="160" t="str">
        <f t="shared" si="22"/>
        <v/>
      </c>
      <c r="C119" s="470">
        <f>IF(D93="","-",+C118+1)</f>
        <v>2038</v>
      </c>
      <c r="D119" s="345">
        <f>IF(F118+SUM(E$99:E118)=D$92,F118,D$92-SUM(E$99:E118))</f>
        <v>995487.7100000002</v>
      </c>
      <c r="E119" s="482">
        <f t="shared" si="25"/>
        <v>51611</v>
      </c>
      <c r="F119" s="483">
        <f t="shared" si="26"/>
        <v>943876.7100000002</v>
      </c>
      <c r="G119" s="483">
        <f t="shared" si="27"/>
        <v>969682.2100000002</v>
      </c>
      <c r="H119" s="484">
        <f t="shared" si="28"/>
        <v>162374.94124860346</v>
      </c>
      <c r="I119" s="540">
        <f t="shared" si="29"/>
        <v>162374.94124860346</v>
      </c>
      <c r="J119" s="476">
        <f t="shared" si="18"/>
        <v>0</v>
      </c>
      <c r="K119" s="476"/>
      <c r="L119" s="485"/>
      <c r="M119" s="476">
        <f t="shared" si="19"/>
        <v>0</v>
      </c>
      <c r="N119" s="485"/>
      <c r="O119" s="476">
        <f t="shared" si="20"/>
        <v>0</v>
      </c>
      <c r="P119" s="476">
        <f t="shared" si="21"/>
        <v>0</v>
      </c>
    </row>
    <row r="120" spans="2:16" ht="12.5">
      <c r="B120" s="160" t="str">
        <f t="shared" si="22"/>
        <v/>
      </c>
      <c r="C120" s="470">
        <f>IF(D93="","-",+C119+1)</f>
        <v>2039</v>
      </c>
      <c r="D120" s="345">
        <f>IF(F119+SUM(E$99:E119)=D$92,F119,D$92-SUM(E$99:E119))</f>
        <v>943876.7100000002</v>
      </c>
      <c r="E120" s="482">
        <f t="shared" si="25"/>
        <v>51611</v>
      </c>
      <c r="F120" s="483">
        <f t="shared" si="26"/>
        <v>892265.7100000002</v>
      </c>
      <c r="G120" s="483">
        <f t="shared" si="27"/>
        <v>918071.2100000002</v>
      </c>
      <c r="H120" s="484">
        <f t="shared" si="28"/>
        <v>156479.56881335826</v>
      </c>
      <c r="I120" s="540">
        <f t="shared" si="29"/>
        <v>156479.56881335826</v>
      </c>
      <c r="J120" s="476">
        <f t="shared" si="18"/>
        <v>0</v>
      </c>
      <c r="K120" s="476"/>
      <c r="L120" s="485"/>
      <c r="M120" s="476">
        <f t="shared" si="19"/>
        <v>0</v>
      </c>
      <c r="N120" s="485"/>
      <c r="O120" s="476">
        <f t="shared" si="20"/>
        <v>0</v>
      </c>
      <c r="P120" s="476">
        <f t="shared" si="21"/>
        <v>0</v>
      </c>
    </row>
    <row r="121" spans="2:16" ht="12.5">
      <c r="B121" s="160" t="str">
        <f t="shared" si="22"/>
        <v/>
      </c>
      <c r="C121" s="470">
        <f>IF(D93="","-",+C120+1)</f>
        <v>2040</v>
      </c>
      <c r="D121" s="345">
        <f>IF(F120+SUM(E$99:E120)=D$92,F120,D$92-SUM(E$99:E120))</f>
        <v>892265.7100000002</v>
      </c>
      <c r="E121" s="482">
        <f t="shared" si="25"/>
        <v>51611</v>
      </c>
      <c r="F121" s="483">
        <f t="shared" si="26"/>
        <v>840654.7100000002</v>
      </c>
      <c r="G121" s="483">
        <f t="shared" si="27"/>
        <v>866460.2100000002</v>
      </c>
      <c r="H121" s="484">
        <f t="shared" si="28"/>
        <v>150584.196378113</v>
      </c>
      <c r="I121" s="540">
        <f t="shared" si="29"/>
        <v>150584.196378113</v>
      </c>
      <c r="J121" s="476">
        <f t="shared" si="18"/>
        <v>0</v>
      </c>
      <c r="K121" s="476"/>
      <c r="L121" s="485"/>
      <c r="M121" s="476">
        <f t="shared" si="19"/>
        <v>0</v>
      </c>
      <c r="N121" s="485"/>
      <c r="O121" s="476">
        <f t="shared" si="20"/>
        <v>0</v>
      </c>
      <c r="P121" s="476">
        <f t="shared" si="21"/>
        <v>0</v>
      </c>
    </row>
    <row r="122" spans="2:16" ht="12.5">
      <c r="B122" s="160" t="str">
        <f t="shared" si="22"/>
        <v/>
      </c>
      <c r="C122" s="470">
        <f>IF(D93="","-",+C121+1)</f>
        <v>2041</v>
      </c>
      <c r="D122" s="345">
        <f>IF(F121+SUM(E$99:E121)=D$92,F121,D$92-SUM(E$99:E121))</f>
        <v>840654.7100000002</v>
      </c>
      <c r="E122" s="482">
        <f t="shared" si="25"/>
        <v>51611</v>
      </c>
      <c r="F122" s="483">
        <f t="shared" si="26"/>
        <v>789043.7100000002</v>
      </c>
      <c r="G122" s="483">
        <f t="shared" si="27"/>
        <v>814849.2100000002</v>
      </c>
      <c r="H122" s="484">
        <f t="shared" si="28"/>
        <v>144688.82394286781</v>
      </c>
      <c r="I122" s="540">
        <f t="shared" si="29"/>
        <v>144688.82394286781</v>
      </c>
      <c r="J122" s="476">
        <f t="shared" si="18"/>
        <v>0</v>
      </c>
      <c r="K122" s="476"/>
      <c r="L122" s="485"/>
      <c r="M122" s="476">
        <f t="shared" si="19"/>
        <v>0</v>
      </c>
      <c r="N122" s="485"/>
      <c r="O122" s="476">
        <f t="shared" si="20"/>
        <v>0</v>
      </c>
      <c r="P122" s="476">
        <f t="shared" si="21"/>
        <v>0</v>
      </c>
    </row>
    <row r="123" spans="2:16" ht="12.5">
      <c r="B123" s="160" t="str">
        <f t="shared" si="22"/>
        <v/>
      </c>
      <c r="C123" s="470">
        <f>IF(D93="","-",+C122+1)</f>
        <v>2042</v>
      </c>
      <c r="D123" s="345">
        <f>IF(F122+SUM(E$99:E122)=D$92,F122,D$92-SUM(E$99:E122))</f>
        <v>789043.7100000002</v>
      </c>
      <c r="E123" s="482">
        <f t="shared" si="25"/>
        <v>51611</v>
      </c>
      <c r="F123" s="483">
        <f t="shared" si="26"/>
        <v>737432.7100000002</v>
      </c>
      <c r="G123" s="483">
        <f t="shared" si="27"/>
        <v>763238.2100000002</v>
      </c>
      <c r="H123" s="484">
        <f t="shared" si="28"/>
        <v>138793.45150762255</v>
      </c>
      <c r="I123" s="540">
        <f t="shared" si="29"/>
        <v>138793.45150762255</v>
      </c>
      <c r="J123" s="476">
        <f t="shared" si="18"/>
        <v>0</v>
      </c>
      <c r="K123" s="476"/>
      <c r="L123" s="485"/>
      <c r="M123" s="476">
        <f t="shared" si="19"/>
        <v>0</v>
      </c>
      <c r="N123" s="485"/>
      <c r="O123" s="476">
        <f t="shared" si="20"/>
        <v>0</v>
      </c>
      <c r="P123" s="476">
        <f t="shared" si="21"/>
        <v>0</v>
      </c>
    </row>
    <row r="124" spans="2:16" ht="12.5">
      <c r="B124" s="160" t="str">
        <f t="shared" si="22"/>
        <v/>
      </c>
      <c r="C124" s="470">
        <f>IF(D93="","-",+C123+1)</f>
        <v>2043</v>
      </c>
      <c r="D124" s="345">
        <f>IF(F123+SUM(E$99:E123)=D$92,F123,D$92-SUM(E$99:E123))</f>
        <v>737432.7100000002</v>
      </c>
      <c r="E124" s="482">
        <f t="shared" si="25"/>
        <v>51611</v>
      </c>
      <c r="F124" s="483">
        <f t="shared" si="26"/>
        <v>685821.7100000002</v>
      </c>
      <c r="G124" s="483">
        <f t="shared" si="27"/>
        <v>711627.2100000002</v>
      </c>
      <c r="H124" s="484">
        <f t="shared" si="28"/>
        <v>132898.07907237735</v>
      </c>
      <c r="I124" s="540">
        <f t="shared" si="29"/>
        <v>132898.07907237735</v>
      </c>
      <c r="J124" s="476">
        <f t="shared" si="18"/>
        <v>0</v>
      </c>
      <c r="K124" s="476"/>
      <c r="L124" s="485"/>
      <c r="M124" s="476">
        <f t="shared" si="19"/>
        <v>0</v>
      </c>
      <c r="N124" s="485"/>
      <c r="O124" s="476">
        <f t="shared" si="20"/>
        <v>0</v>
      </c>
      <c r="P124" s="476">
        <f t="shared" si="21"/>
        <v>0</v>
      </c>
    </row>
    <row r="125" spans="2:16" ht="12.5">
      <c r="B125" s="160" t="str">
        <f t="shared" si="22"/>
        <v/>
      </c>
      <c r="C125" s="470">
        <f>IF(D93="","-",+C124+1)</f>
        <v>2044</v>
      </c>
      <c r="D125" s="345">
        <f>IF(F124+SUM(E$99:E124)=D$92,F124,D$92-SUM(E$99:E124))</f>
        <v>685821.7100000002</v>
      </c>
      <c r="E125" s="482">
        <f t="shared" si="25"/>
        <v>51611</v>
      </c>
      <c r="F125" s="483">
        <f t="shared" si="26"/>
        <v>634210.7100000002</v>
      </c>
      <c r="G125" s="483">
        <f t="shared" si="27"/>
        <v>660016.2100000002</v>
      </c>
      <c r="H125" s="484">
        <f t="shared" si="28"/>
        <v>127002.70663713211</v>
      </c>
      <c r="I125" s="540">
        <f t="shared" si="29"/>
        <v>127002.70663713211</v>
      </c>
      <c r="J125" s="476">
        <f t="shared" si="18"/>
        <v>0</v>
      </c>
      <c r="K125" s="476"/>
      <c r="L125" s="485"/>
      <c r="M125" s="476">
        <f t="shared" si="19"/>
        <v>0</v>
      </c>
      <c r="N125" s="485"/>
      <c r="O125" s="476">
        <f t="shared" si="20"/>
        <v>0</v>
      </c>
      <c r="P125" s="476">
        <f t="shared" si="21"/>
        <v>0</v>
      </c>
    </row>
    <row r="126" spans="2:16" ht="12.5">
      <c r="B126" s="160" t="str">
        <f t="shared" si="22"/>
        <v/>
      </c>
      <c r="C126" s="470">
        <f>IF(D93="","-",+C125+1)</f>
        <v>2045</v>
      </c>
      <c r="D126" s="345">
        <f>IF(F125+SUM(E$99:E125)=D$92,F125,D$92-SUM(E$99:E125))</f>
        <v>634210.7100000002</v>
      </c>
      <c r="E126" s="482">
        <f t="shared" si="25"/>
        <v>51611</v>
      </c>
      <c r="F126" s="483">
        <f t="shared" si="26"/>
        <v>582599.7100000002</v>
      </c>
      <c r="G126" s="483">
        <f t="shared" si="27"/>
        <v>608405.2100000002</v>
      </c>
      <c r="H126" s="484">
        <f t="shared" si="28"/>
        <v>121107.33420188689</v>
      </c>
      <c r="I126" s="540">
        <f t="shared" si="29"/>
        <v>121107.33420188689</v>
      </c>
      <c r="J126" s="476">
        <f t="shared" si="18"/>
        <v>0</v>
      </c>
      <c r="K126" s="476"/>
      <c r="L126" s="485"/>
      <c r="M126" s="476">
        <f t="shared" si="19"/>
        <v>0</v>
      </c>
      <c r="N126" s="485"/>
      <c r="O126" s="476">
        <f t="shared" si="20"/>
        <v>0</v>
      </c>
      <c r="P126" s="476">
        <f t="shared" si="21"/>
        <v>0</v>
      </c>
    </row>
    <row r="127" spans="2:16" ht="12.5">
      <c r="B127" s="160" t="str">
        <f t="shared" si="22"/>
        <v/>
      </c>
      <c r="C127" s="470">
        <f>IF(D93="","-",+C126+1)</f>
        <v>2046</v>
      </c>
      <c r="D127" s="345">
        <f>IF(F126+SUM(E$99:E126)=D$92,F126,D$92-SUM(E$99:E126))</f>
        <v>582599.7100000002</v>
      </c>
      <c r="E127" s="482">
        <f t="shared" si="25"/>
        <v>51611</v>
      </c>
      <c r="F127" s="483">
        <f t="shared" si="26"/>
        <v>530988.7100000002</v>
      </c>
      <c r="G127" s="483">
        <f t="shared" si="27"/>
        <v>556794.2100000002</v>
      </c>
      <c r="H127" s="484">
        <f t="shared" si="28"/>
        <v>115211.96176664167</v>
      </c>
      <c r="I127" s="540">
        <f t="shared" si="29"/>
        <v>115211.96176664167</v>
      </c>
      <c r="J127" s="476">
        <f t="shared" si="18"/>
        <v>0</v>
      </c>
      <c r="K127" s="476"/>
      <c r="L127" s="485"/>
      <c r="M127" s="476">
        <f t="shared" si="19"/>
        <v>0</v>
      </c>
      <c r="N127" s="485"/>
      <c r="O127" s="476">
        <f t="shared" si="20"/>
        <v>0</v>
      </c>
      <c r="P127" s="476">
        <f t="shared" si="21"/>
        <v>0</v>
      </c>
    </row>
    <row r="128" spans="2:16" ht="12.5">
      <c r="B128" s="160" t="str">
        <f t="shared" si="22"/>
        <v/>
      </c>
      <c r="C128" s="470">
        <f>IF(D93="","-",+C127+1)</f>
        <v>2047</v>
      </c>
      <c r="D128" s="345">
        <f>IF(F127+SUM(E$99:E127)=D$92,F127,D$92-SUM(E$99:E127))</f>
        <v>530988.7100000002</v>
      </c>
      <c r="E128" s="482">
        <f t="shared" si="25"/>
        <v>51611</v>
      </c>
      <c r="F128" s="483">
        <f t="shared" si="26"/>
        <v>479377.7100000002</v>
      </c>
      <c r="G128" s="483">
        <f t="shared" si="27"/>
        <v>505183.2100000002</v>
      </c>
      <c r="H128" s="484">
        <f t="shared" si="28"/>
        <v>109316.58933139645</v>
      </c>
      <c r="I128" s="540">
        <f t="shared" si="29"/>
        <v>109316.58933139645</v>
      </c>
      <c r="J128" s="476">
        <f t="shared" si="18"/>
        <v>0</v>
      </c>
      <c r="K128" s="476"/>
      <c r="L128" s="485"/>
      <c r="M128" s="476">
        <f t="shared" si="19"/>
        <v>0</v>
      </c>
      <c r="N128" s="485"/>
      <c r="O128" s="476">
        <f t="shared" si="20"/>
        <v>0</v>
      </c>
      <c r="P128" s="476">
        <f t="shared" si="21"/>
        <v>0</v>
      </c>
    </row>
    <row r="129" spans="2:16" ht="12.5">
      <c r="B129" s="160" t="str">
        <f t="shared" si="22"/>
        <v/>
      </c>
      <c r="C129" s="470">
        <f>IF(D93="","-",+C128+1)</f>
        <v>2048</v>
      </c>
      <c r="D129" s="345">
        <f>IF(F128+SUM(E$99:E128)=D$92,F128,D$92-SUM(E$99:E128))</f>
        <v>479377.7100000002</v>
      </c>
      <c r="E129" s="482">
        <f t="shared" si="25"/>
        <v>51611</v>
      </c>
      <c r="F129" s="483">
        <f t="shared" si="26"/>
        <v>427766.7100000002</v>
      </c>
      <c r="G129" s="483">
        <f t="shared" si="27"/>
        <v>453572.2100000002</v>
      </c>
      <c r="H129" s="484">
        <f t="shared" si="28"/>
        <v>103421.21689615122</v>
      </c>
      <c r="I129" s="540">
        <f t="shared" si="29"/>
        <v>103421.21689615122</v>
      </c>
      <c r="J129" s="476">
        <f t="shared" si="18"/>
        <v>0</v>
      </c>
      <c r="K129" s="476"/>
      <c r="L129" s="485"/>
      <c r="M129" s="476">
        <f t="shared" si="19"/>
        <v>0</v>
      </c>
      <c r="N129" s="485"/>
      <c r="O129" s="476">
        <f t="shared" si="20"/>
        <v>0</v>
      </c>
      <c r="P129" s="476">
        <f t="shared" si="21"/>
        <v>0</v>
      </c>
    </row>
    <row r="130" spans="2:16" ht="12.5">
      <c r="B130" s="160" t="str">
        <f t="shared" si="22"/>
        <v/>
      </c>
      <c r="C130" s="470">
        <f>IF(D93="","-",+C129+1)</f>
        <v>2049</v>
      </c>
      <c r="D130" s="345">
        <f>IF(F129+SUM(E$99:E129)=D$92,F129,D$92-SUM(E$99:E129))</f>
        <v>427766.7100000002</v>
      </c>
      <c r="E130" s="482">
        <f t="shared" si="25"/>
        <v>51611</v>
      </c>
      <c r="F130" s="483">
        <f t="shared" si="26"/>
        <v>376155.7100000002</v>
      </c>
      <c r="G130" s="483">
        <f t="shared" si="27"/>
        <v>401961.2100000002</v>
      </c>
      <c r="H130" s="484">
        <f t="shared" si="28"/>
        <v>97525.844460905995</v>
      </c>
      <c r="I130" s="540">
        <f t="shared" si="29"/>
        <v>97525.844460905995</v>
      </c>
      <c r="J130" s="476">
        <f t="shared" si="18"/>
        <v>0</v>
      </c>
      <c r="K130" s="476"/>
      <c r="L130" s="485"/>
      <c r="M130" s="476">
        <f t="shared" si="19"/>
        <v>0</v>
      </c>
      <c r="N130" s="485"/>
      <c r="O130" s="476">
        <f t="shared" si="20"/>
        <v>0</v>
      </c>
      <c r="P130" s="476">
        <f t="shared" si="21"/>
        <v>0</v>
      </c>
    </row>
    <row r="131" spans="2:16" ht="12.5">
      <c r="B131" s="160" t="str">
        <f t="shared" si="22"/>
        <v/>
      </c>
      <c r="C131" s="470">
        <f>IF(D93="","-",+C130+1)</f>
        <v>2050</v>
      </c>
      <c r="D131" s="345">
        <f>IF(F130+SUM(E$99:E130)=D$92,F130,D$92-SUM(E$99:E130))</f>
        <v>376155.7100000002</v>
      </c>
      <c r="E131" s="482">
        <f t="shared" si="25"/>
        <v>51611</v>
      </c>
      <c r="F131" s="483">
        <f t="shared" si="26"/>
        <v>324544.7100000002</v>
      </c>
      <c r="G131" s="483">
        <f t="shared" si="27"/>
        <v>350350.2100000002</v>
      </c>
      <c r="H131" s="484">
        <f t="shared" si="28"/>
        <v>91630.472025660769</v>
      </c>
      <c r="I131" s="540">
        <f t="shared" si="29"/>
        <v>91630.472025660769</v>
      </c>
      <c r="J131" s="476">
        <f t="shared" ref="J131:J154" si="30">+I541-H541</f>
        <v>0</v>
      </c>
      <c r="K131" s="476"/>
      <c r="L131" s="485"/>
      <c r="M131" s="476">
        <f t="shared" ref="M131:M154" si="31">IF(L541&lt;&gt;0,+H541-L541,0)</f>
        <v>0</v>
      </c>
      <c r="N131" s="485"/>
      <c r="O131" s="476">
        <f t="shared" ref="O131:O154" si="32">IF(N541&lt;&gt;0,+I541-N541,0)</f>
        <v>0</v>
      </c>
      <c r="P131" s="476">
        <f t="shared" ref="P131:P154" si="33">+O541-M541</f>
        <v>0</v>
      </c>
    </row>
    <row r="132" spans="2:16" ht="12.5">
      <c r="B132" s="160" t="str">
        <f t="shared" si="22"/>
        <v/>
      </c>
      <c r="C132" s="470">
        <f>IF(D93="","-",+C131+1)</f>
        <v>2051</v>
      </c>
      <c r="D132" s="345">
        <f>IF(F131+SUM(E$99:E131)=D$92,F131,D$92-SUM(E$99:E131))</f>
        <v>324544.7100000002</v>
      </c>
      <c r="E132" s="482">
        <f t="shared" si="25"/>
        <v>51611</v>
      </c>
      <c r="F132" s="483">
        <f t="shared" si="26"/>
        <v>272933.7100000002</v>
      </c>
      <c r="G132" s="483">
        <f t="shared" si="27"/>
        <v>298739.2100000002</v>
      </c>
      <c r="H132" s="484">
        <f t="shared" si="28"/>
        <v>85735.099590415542</v>
      </c>
      <c r="I132" s="540">
        <f t="shared" si="29"/>
        <v>85735.099590415542</v>
      </c>
      <c r="J132" s="476">
        <f t="shared" si="30"/>
        <v>0</v>
      </c>
      <c r="K132" s="476"/>
      <c r="L132" s="485"/>
      <c r="M132" s="476">
        <f t="shared" si="31"/>
        <v>0</v>
      </c>
      <c r="N132" s="485"/>
      <c r="O132" s="476">
        <f t="shared" si="32"/>
        <v>0</v>
      </c>
      <c r="P132" s="476">
        <f t="shared" si="33"/>
        <v>0</v>
      </c>
    </row>
    <row r="133" spans="2:16" ht="12.5">
      <c r="B133" s="160" t="str">
        <f t="shared" si="22"/>
        <v/>
      </c>
      <c r="C133" s="470">
        <f>IF(D93="","-",+C132+1)</f>
        <v>2052</v>
      </c>
      <c r="D133" s="345">
        <f>IF(F132+SUM(E$99:E132)=D$92,F132,D$92-SUM(E$99:E132))</f>
        <v>272933.7100000002</v>
      </c>
      <c r="E133" s="482">
        <f t="shared" si="25"/>
        <v>51611</v>
      </c>
      <c r="F133" s="483">
        <f t="shared" si="26"/>
        <v>221322.7100000002</v>
      </c>
      <c r="G133" s="483">
        <f t="shared" si="27"/>
        <v>247128.2100000002</v>
      </c>
      <c r="H133" s="484">
        <f t="shared" si="28"/>
        <v>79839.727155170316</v>
      </c>
      <c r="I133" s="540">
        <f t="shared" si="29"/>
        <v>79839.727155170316</v>
      </c>
      <c r="J133" s="476">
        <f t="shared" si="30"/>
        <v>0</v>
      </c>
      <c r="K133" s="476"/>
      <c r="L133" s="485"/>
      <c r="M133" s="476">
        <f t="shared" si="31"/>
        <v>0</v>
      </c>
      <c r="N133" s="485"/>
      <c r="O133" s="476">
        <f t="shared" si="32"/>
        <v>0</v>
      </c>
      <c r="P133" s="476">
        <f t="shared" si="33"/>
        <v>0</v>
      </c>
    </row>
    <row r="134" spans="2:16" ht="12.5">
      <c r="B134" s="160" t="str">
        <f t="shared" si="22"/>
        <v/>
      </c>
      <c r="C134" s="470">
        <f>IF(D93="","-",+C133+1)</f>
        <v>2053</v>
      </c>
      <c r="D134" s="345">
        <f>IF(F133+SUM(E$99:E133)=D$92,F133,D$92-SUM(E$99:E133))</f>
        <v>221322.7100000002</v>
      </c>
      <c r="E134" s="482">
        <f t="shared" si="25"/>
        <v>51611</v>
      </c>
      <c r="F134" s="483">
        <f t="shared" si="26"/>
        <v>169711.7100000002</v>
      </c>
      <c r="G134" s="483">
        <f t="shared" si="27"/>
        <v>195517.2100000002</v>
      </c>
      <c r="H134" s="484">
        <f t="shared" si="28"/>
        <v>73944.35471992509</v>
      </c>
      <c r="I134" s="540">
        <f t="shared" si="29"/>
        <v>73944.35471992509</v>
      </c>
      <c r="J134" s="476">
        <f t="shared" si="30"/>
        <v>0</v>
      </c>
      <c r="K134" s="476"/>
      <c r="L134" s="485"/>
      <c r="M134" s="476">
        <f t="shared" si="31"/>
        <v>0</v>
      </c>
      <c r="N134" s="485"/>
      <c r="O134" s="476">
        <f t="shared" si="32"/>
        <v>0</v>
      </c>
      <c r="P134" s="476">
        <f t="shared" si="33"/>
        <v>0</v>
      </c>
    </row>
    <row r="135" spans="2:16" ht="12.5">
      <c r="B135" s="160" t="str">
        <f t="shared" si="22"/>
        <v/>
      </c>
      <c r="C135" s="470">
        <f>IF(D93="","-",+C134+1)</f>
        <v>2054</v>
      </c>
      <c r="D135" s="345">
        <f>IF(F134+SUM(E$99:E134)=D$92,F134,D$92-SUM(E$99:E134))</f>
        <v>169711.7100000002</v>
      </c>
      <c r="E135" s="482">
        <f t="shared" si="25"/>
        <v>51611</v>
      </c>
      <c r="F135" s="483">
        <f t="shared" si="26"/>
        <v>118100.7100000002</v>
      </c>
      <c r="G135" s="483">
        <f t="shared" si="27"/>
        <v>143906.2100000002</v>
      </c>
      <c r="H135" s="484">
        <f t="shared" si="28"/>
        <v>68048.982284679863</v>
      </c>
      <c r="I135" s="540">
        <f t="shared" si="29"/>
        <v>68048.982284679863</v>
      </c>
      <c r="J135" s="476">
        <f t="shared" si="30"/>
        <v>0</v>
      </c>
      <c r="K135" s="476"/>
      <c r="L135" s="485"/>
      <c r="M135" s="476">
        <f t="shared" si="31"/>
        <v>0</v>
      </c>
      <c r="N135" s="485"/>
      <c r="O135" s="476">
        <f t="shared" si="32"/>
        <v>0</v>
      </c>
      <c r="P135" s="476">
        <f t="shared" si="33"/>
        <v>0</v>
      </c>
    </row>
    <row r="136" spans="2:16" ht="12.5">
      <c r="B136" s="160" t="str">
        <f t="shared" si="22"/>
        <v/>
      </c>
      <c r="C136" s="470">
        <f>IF(D93="","-",+C135+1)</f>
        <v>2055</v>
      </c>
      <c r="D136" s="345">
        <f>IF(F135+SUM(E$99:E135)=D$92,F135,D$92-SUM(E$99:E135))</f>
        <v>118100.7100000002</v>
      </c>
      <c r="E136" s="482">
        <f t="shared" si="25"/>
        <v>51611</v>
      </c>
      <c r="F136" s="483">
        <f t="shared" si="26"/>
        <v>66489.710000000196</v>
      </c>
      <c r="G136" s="483">
        <f t="shared" si="27"/>
        <v>92295.210000000196</v>
      </c>
      <c r="H136" s="484">
        <f t="shared" si="28"/>
        <v>62153.60984943463</v>
      </c>
      <c r="I136" s="540">
        <f t="shared" si="29"/>
        <v>62153.60984943463</v>
      </c>
      <c r="J136" s="476">
        <f t="shared" si="30"/>
        <v>0</v>
      </c>
      <c r="K136" s="476"/>
      <c r="L136" s="485"/>
      <c r="M136" s="476">
        <f t="shared" si="31"/>
        <v>0</v>
      </c>
      <c r="N136" s="485"/>
      <c r="O136" s="476">
        <f t="shared" si="32"/>
        <v>0</v>
      </c>
      <c r="P136" s="476">
        <f t="shared" si="33"/>
        <v>0</v>
      </c>
    </row>
    <row r="137" spans="2:16" ht="12.5">
      <c r="B137" s="160" t="str">
        <f t="shared" si="22"/>
        <v/>
      </c>
      <c r="C137" s="470">
        <f>IF(D93="","-",+C136+1)</f>
        <v>2056</v>
      </c>
      <c r="D137" s="345">
        <f>IF(F136+SUM(E$99:E136)=D$92,F136,D$92-SUM(E$99:E136))</f>
        <v>66489.710000000196</v>
      </c>
      <c r="E137" s="482">
        <f t="shared" si="25"/>
        <v>51611</v>
      </c>
      <c r="F137" s="483">
        <f t="shared" si="26"/>
        <v>14878.710000000196</v>
      </c>
      <c r="G137" s="483">
        <f t="shared" si="27"/>
        <v>40684.210000000196</v>
      </c>
      <c r="H137" s="484">
        <f t="shared" si="28"/>
        <v>56258.237414189403</v>
      </c>
      <c r="I137" s="540">
        <f t="shared" si="29"/>
        <v>56258.237414189403</v>
      </c>
      <c r="J137" s="476">
        <f t="shared" si="30"/>
        <v>0</v>
      </c>
      <c r="K137" s="476"/>
      <c r="L137" s="485"/>
      <c r="M137" s="476">
        <f t="shared" si="31"/>
        <v>0</v>
      </c>
      <c r="N137" s="485"/>
      <c r="O137" s="476">
        <f t="shared" si="32"/>
        <v>0</v>
      </c>
      <c r="P137" s="476">
        <f t="shared" si="33"/>
        <v>0</v>
      </c>
    </row>
    <row r="138" spans="2:16" ht="12.5">
      <c r="B138" s="160" t="str">
        <f t="shared" si="22"/>
        <v/>
      </c>
      <c r="C138" s="470">
        <f>IF(D93="","-",+C137+1)</f>
        <v>2057</v>
      </c>
      <c r="D138" s="345">
        <f>IF(F137+SUM(E$99:E137)=D$92,F137,D$92-SUM(E$99:E137))</f>
        <v>14878.710000000196</v>
      </c>
      <c r="E138" s="482">
        <f t="shared" si="25"/>
        <v>14878.710000000196</v>
      </c>
      <c r="F138" s="483">
        <f t="shared" si="26"/>
        <v>0</v>
      </c>
      <c r="G138" s="483">
        <f t="shared" si="27"/>
        <v>7439.3550000000978</v>
      </c>
      <c r="H138" s="484">
        <f t="shared" si="28"/>
        <v>15728.485598283591</v>
      </c>
      <c r="I138" s="540">
        <f t="shared" si="29"/>
        <v>15728.485598283591</v>
      </c>
      <c r="J138" s="476">
        <f t="shared" si="30"/>
        <v>0</v>
      </c>
      <c r="K138" s="476"/>
      <c r="L138" s="485"/>
      <c r="M138" s="476">
        <f t="shared" si="31"/>
        <v>0</v>
      </c>
      <c r="N138" s="485"/>
      <c r="O138" s="476">
        <f t="shared" si="32"/>
        <v>0</v>
      </c>
      <c r="P138" s="476">
        <f t="shared" si="33"/>
        <v>0</v>
      </c>
    </row>
    <row r="139" spans="2:16" ht="12.5">
      <c r="B139" s="160" t="str">
        <f t="shared" si="22"/>
        <v/>
      </c>
      <c r="C139" s="470">
        <f>IF(D93="","-",+C138+1)</f>
        <v>2058</v>
      </c>
      <c r="D139" s="345">
        <f>IF(F138+SUM(E$99:E138)=D$92,F138,D$92-SUM(E$99:E138))</f>
        <v>0</v>
      </c>
      <c r="E139" s="482">
        <f t="shared" si="25"/>
        <v>0</v>
      </c>
      <c r="F139" s="483">
        <f t="shared" si="26"/>
        <v>0</v>
      </c>
      <c r="G139" s="483">
        <f t="shared" si="27"/>
        <v>0</v>
      </c>
      <c r="H139" s="484">
        <f t="shared" si="28"/>
        <v>0</v>
      </c>
      <c r="I139" s="540">
        <f t="shared" si="29"/>
        <v>0</v>
      </c>
      <c r="J139" s="476">
        <f t="shared" si="30"/>
        <v>0</v>
      </c>
      <c r="K139" s="476"/>
      <c r="L139" s="485"/>
      <c r="M139" s="476">
        <f t="shared" si="31"/>
        <v>0</v>
      </c>
      <c r="N139" s="485"/>
      <c r="O139" s="476">
        <f t="shared" si="32"/>
        <v>0</v>
      </c>
      <c r="P139" s="476">
        <f t="shared" si="33"/>
        <v>0</v>
      </c>
    </row>
    <row r="140" spans="2:16" ht="12.5">
      <c r="B140" s="160" t="str">
        <f t="shared" si="22"/>
        <v/>
      </c>
      <c r="C140" s="470">
        <f>IF(D93="","-",+C139+1)</f>
        <v>2059</v>
      </c>
      <c r="D140" s="345">
        <f>IF(F139+SUM(E$99:E139)=D$92,F139,D$92-SUM(E$99:E139))</f>
        <v>0</v>
      </c>
      <c r="E140" s="482">
        <f t="shared" si="25"/>
        <v>0</v>
      </c>
      <c r="F140" s="483">
        <f t="shared" si="26"/>
        <v>0</v>
      </c>
      <c r="G140" s="483">
        <f t="shared" si="27"/>
        <v>0</v>
      </c>
      <c r="H140" s="484">
        <f t="shared" si="28"/>
        <v>0</v>
      </c>
      <c r="I140" s="540">
        <f t="shared" si="29"/>
        <v>0</v>
      </c>
      <c r="J140" s="476">
        <f t="shared" si="30"/>
        <v>0</v>
      </c>
      <c r="K140" s="476"/>
      <c r="L140" s="485"/>
      <c r="M140" s="476">
        <f t="shared" si="31"/>
        <v>0</v>
      </c>
      <c r="N140" s="485"/>
      <c r="O140" s="476">
        <f t="shared" si="32"/>
        <v>0</v>
      </c>
      <c r="P140" s="476">
        <f t="shared" si="33"/>
        <v>0</v>
      </c>
    </row>
    <row r="141" spans="2:16" ht="12.5">
      <c r="B141" s="160" t="str">
        <f t="shared" si="22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5"/>
        <v>0</v>
      </c>
      <c r="F141" s="483">
        <f t="shared" si="26"/>
        <v>0</v>
      </c>
      <c r="G141" s="483">
        <f t="shared" si="27"/>
        <v>0</v>
      </c>
      <c r="H141" s="484">
        <f t="shared" si="28"/>
        <v>0</v>
      </c>
      <c r="I141" s="540">
        <f t="shared" si="29"/>
        <v>0</v>
      </c>
      <c r="J141" s="476">
        <f t="shared" si="30"/>
        <v>0</v>
      </c>
      <c r="K141" s="476"/>
      <c r="L141" s="485"/>
      <c r="M141" s="476">
        <f t="shared" si="31"/>
        <v>0</v>
      </c>
      <c r="N141" s="485"/>
      <c r="O141" s="476">
        <f t="shared" si="32"/>
        <v>0</v>
      </c>
      <c r="P141" s="476">
        <f t="shared" si="33"/>
        <v>0</v>
      </c>
    </row>
    <row r="142" spans="2:16" ht="12.5">
      <c r="B142" s="160" t="str">
        <f t="shared" si="22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5"/>
        <v>0</v>
      </c>
      <c r="F142" s="483">
        <f t="shared" si="26"/>
        <v>0</v>
      </c>
      <c r="G142" s="483">
        <f t="shared" si="27"/>
        <v>0</v>
      </c>
      <c r="H142" s="484">
        <f t="shared" si="28"/>
        <v>0</v>
      </c>
      <c r="I142" s="540">
        <f t="shared" si="29"/>
        <v>0</v>
      </c>
      <c r="J142" s="476">
        <f t="shared" si="30"/>
        <v>0</v>
      </c>
      <c r="K142" s="476"/>
      <c r="L142" s="485"/>
      <c r="M142" s="476">
        <f t="shared" si="31"/>
        <v>0</v>
      </c>
      <c r="N142" s="485"/>
      <c r="O142" s="476">
        <f t="shared" si="32"/>
        <v>0</v>
      </c>
      <c r="P142" s="476">
        <f t="shared" si="33"/>
        <v>0</v>
      </c>
    </row>
    <row r="143" spans="2:16" ht="12.5">
      <c r="B143" s="160" t="str">
        <f t="shared" si="22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5"/>
        <v>0</v>
      </c>
      <c r="F143" s="483">
        <f t="shared" si="26"/>
        <v>0</v>
      </c>
      <c r="G143" s="483">
        <f t="shared" si="27"/>
        <v>0</v>
      </c>
      <c r="H143" s="484">
        <f t="shared" si="28"/>
        <v>0</v>
      </c>
      <c r="I143" s="540">
        <f t="shared" si="29"/>
        <v>0</v>
      </c>
      <c r="J143" s="476">
        <f t="shared" si="30"/>
        <v>0</v>
      </c>
      <c r="K143" s="476"/>
      <c r="L143" s="485"/>
      <c r="M143" s="476">
        <f t="shared" si="31"/>
        <v>0</v>
      </c>
      <c r="N143" s="485"/>
      <c r="O143" s="476">
        <f t="shared" si="32"/>
        <v>0</v>
      </c>
      <c r="P143" s="476">
        <f t="shared" si="33"/>
        <v>0</v>
      </c>
    </row>
    <row r="144" spans="2:16" ht="12.5">
      <c r="B144" s="160" t="str">
        <f t="shared" si="22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5"/>
        <v>0</v>
      </c>
      <c r="F144" s="483">
        <f t="shared" si="26"/>
        <v>0</v>
      </c>
      <c r="G144" s="483">
        <f t="shared" si="27"/>
        <v>0</v>
      </c>
      <c r="H144" s="484">
        <f t="shared" si="28"/>
        <v>0</v>
      </c>
      <c r="I144" s="540">
        <f t="shared" si="29"/>
        <v>0</v>
      </c>
      <c r="J144" s="476">
        <f t="shared" si="30"/>
        <v>0</v>
      </c>
      <c r="K144" s="476"/>
      <c r="L144" s="485"/>
      <c r="M144" s="476">
        <f t="shared" si="31"/>
        <v>0</v>
      </c>
      <c r="N144" s="485"/>
      <c r="O144" s="476">
        <f t="shared" si="32"/>
        <v>0</v>
      </c>
      <c r="P144" s="476">
        <f t="shared" si="33"/>
        <v>0</v>
      </c>
    </row>
    <row r="145" spans="2:16" ht="12.5">
      <c r="B145" s="160" t="str">
        <f t="shared" si="22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5"/>
        <v>0</v>
      </c>
      <c r="F145" s="483">
        <f t="shared" si="26"/>
        <v>0</v>
      </c>
      <c r="G145" s="483">
        <f t="shared" si="27"/>
        <v>0</v>
      </c>
      <c r="H145" s="484">
        <f t="shared" si="28"/>
        <v>0</v>
      </c>
      <c r="I145" s="540">
        <f t="shared" si="29"/>
        <v>0</v>
      </c>
      <c r="J145" s="476">
        <f t="shared" si="30"/>
        <v>0</v>
      </c>
      <c r="K145" s="476"/>
      <c r="L145" s="485"/>
      <c r="M145" s="476">
        <f t="shared" si="31"/>
        <v>0</v>
      </c>
      <c r="N145" s="485"/>
      <c r="O145" s="476">
        <f t="shared" si="32"/>
        <v>0</v>
      </c>
      <c r="P145" s="476">
        <f t="shared" si="33"/>
        <v>0</v>
      </c>
    </row>
    <row r="146" spans="2:16" ht="12.5">
      <c r="B146" s="160" t="str">
        <f t="shared" si="22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5"/>
        <v>0</v>
      </c>
      <c r="F146" s="483">
        <f t="shared" si="26"/>
        <v>0</v>
      </c>
      <c r="G146" s="483">
        <f t="shared" si="27"/>
        <v>0</v>
      </c>
      <c r="H146" s="484">
        <f t="shared" si="28"/>
        <v>0</v>
      </c>
      <c r="I146" s="540">
        <f t="shared" si="29"/>
        <v>0</v>
      </c>
      <c r="J146" s="476">
        <f t="shared" si="30"/>
        <v>0</v>
      </c>
      <c r="K146" s="476"/>
      <c r="L146" s="485"/>
      <c r="M146" s="476">
        <f t="shared" si="31"/>
        <v>0</v>
      </c>
      <c r="N146" s="485"/>
      <c r="O146" s="476">
        <f t="shared" si="32"/>
        <v>0</v>
      </c>
      <c r="P146" s="476">
        <f t="shared" si="33"/>
        <v>0</v>
      </c>
    </row>
    <row r="147" spans="2:16" ht="12.5">
      <c r="B147" s="160" t="str">
        <f t="shared" si="22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5"/>
        <v>0</v>
      </c>
      <c r="F147" s="483">
        <f t="shared" si="26"/>
        <v>0</v>
      </c>
      <c r="G147" s="483">
        <f t="shared" si="27"/>
        <v>0</v>
      </c>
      <c r="H147" s="484">
        <f t="shared" si="28"/>
        <v>0</v>
      </c>
      <c r="I147" s="540">
        <f t="shared" si="29"/>
        <v>0</v>
      </c>
      <c r="J147" s="476">
        <f t="shared" si="30"/>
        <v>0</v>
      </c>
      <c r="K147" s="476"/>
      <c r="L147" s="485"/>
      <c r="M147" s="476">
        <f t="shared" si="31"/>
        <v>0</v>
      </c>
      <c r="N147" s="485"/>
      <c r="O147" s="476">
        <f t="shared" si="32"/>
        <v>0</v>
      </c>
      <c r="P147" s="476">
        <f t="shared" si="33"/>
        <v>0</v>
      </c>
    </row>
    <row r="148" spans="2:16" ht="12.5">
      <c r="B148" s="160" t="str">
        <f t="shared" si="22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5"/>
        <v>0</v>
      </c>
      <c r="F148" s="483">
        <f t="shared" si="26"/>
        <v>0</v>
      </c>
      <c r="G148" s="483">
        <f t="shared" si="27"/>
        <v>0</v>
      </c>
      <c r="H148" s="484">
        <f t="shared" si="28"/>
        <v>0</v>
      </c>
      <c r="I148" s="540">
        <f t="shared" si="29"/>
        <v>0</v>
      </c>
      <c r="J148" s="476">
        <f t="shared" si="30"/>
        <v>0</v>
      </c>
      <c r="K148" s="476"/>
      <c r="L148" s="485"/>
      <c r="M148" s="476">
        <f t="shared" si="31"/>
        <v>0</v>
      </c>
      <c r="N148" s="485"/>
      <c r="O148" s="476">
        <f t="shared" si="32"/>
        <v>0</v>
      </c>
      <c r="P148" s="476">
        <f t="shared" si="33"/>
        <v>0</v>
      </c>
    </row>
    <row r="149" spans="2:16" ht="12.5">
      <c r="B149" s="160" t="str">
        <f t="shared" si="22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5"/>
        <v>0</v>
      </c>
      <c r="F149" s="483">
        <f t="shared" si="26"/>
        <v>0</v>
      </c>
      <c r="G149" s="483">
        <f t="shared" si="27"/>
        <v>0</v>
      </c>
      <c r="H149" s="484">
        <f t="shared" si="28"/>
        <v>0</v>
      </c>
      <c r="I149" s="540">
        <f t="shared" si="29"/>
        <v>0</v>
      </c>
      <c r="J149" s="476">
        <f t="shared" si="30"/>
        <v>0</v>
      </c>
      <c r="K149" s="476"/>
      <c r="L149" s="485"/>
      <c r="M149" s="476">
        <f t="shared" si="31"/>
        <v>0</v>
      </c>
      <c r="N149" s="485"/>
      <c r="O149" s="476">
        <f t="shared" si="32"/>
        <v>0</v>
      </c>
      <c r="P149" s="476">
        <f t="shared" si="33"/>
        <v>0</v>
      </c>
    </row>
    <row r="150" spans="2:16" ht="12.5">
      <c r="B150" s="160" t="str">
        <f t="shared" si="22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5"/>
        <v>0</v>
      </c>
      <c r="F150" s="483">
        <f t="shared" si="26"/>
        <v>0</v>
      </c>
      <c r="G150" s="483">
        <f t="shared" si="27"/>
        <v>0</v>
      </c>
      <c r="H150" s="484">
        <f t="shared" si="28"/>
        <v>0</v>
      </c>
      <c r="I150" s="540">
        <f t="shared" si="29"/>
        <v>0</v>
      </c>
      <c r="J150" s="476">
        <f t="shared" si="30"/>
        <v>0</v>
      </c>
      <c r="K150" s="476"/>
      <c r="L150" s="485"/>
      <c r="M150" s="476">
        <f t="shared" si="31"/>
        <v>0</v>
      </c>
      <c r="N150" s="485"/>
      <c r="O150" s="476">
        <f t="shared" si="32"/>
        <v>0</v>
      </c>
      <c r="P150" s="476">
        <f t="shared" si="33"/>
        <v>0</v>
      </c>
    </row>
    <row r="151" spans="2:16" ht="12.5">
      <c r="B151" s="160" t="str">
        <f t="shared" si="22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5"/>
        <v>0</v>
      </c>
      <c r="F151" s="483">
        <f t="shared" si="26"/>
        <v>0</v>
      </c>
      <c r="G151" s="483">
        <f t="shared" si="27"/>
        <v>0</v>
      </c>
      <c r="H151" s="484">
        <f t="shared" si="28"/>
        <v>0</v>
      </c>
      <c r="I151" s="540">
        <f t="shared" si="29"/>
        <v>0</v>
      </c>
      <c r="J151" s="476">
        <f t="shared" si="30"/>
        <v>0</v>
      </c>
      <c r="K151" s="476"/>
      <c r="L151" s="485"/>
      <c r="M151" s="476">
        <f t="shared" si="31"/>
        <v>0</v>
      </c>
      <c r="N151" s="485"/>
      <c r="O151" s="476">
        <f t="shared" si="32"/>
        <v>0</v>
      </c>
      <c r="P151" s="476">
        <f t="shared" si="33"/>
        <v>0</v>
      </c>
    </row>
    <row r="152" spans="2:16" ht="12.5">
      <c r="B152" s="160" t="str">
        <f t="shared" si="22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5"/>
        <v>0</v>
      </c>
      <c r="F152" s="483">
        <f t="shared" si="26"/>
        <v>0</v>
      </c>
      <c r="G152" s="483">
        <f t="shared" si="27"/>
        <v>0</v>
      </c>
      <c r="H152" s="484">
        <f t="shared" si="28"/>
        <v>0</v>
      </c>
      <c r="I152" s="540">
        <f t="shared" si="29"/>
        <v>0</v>
      </c>
      <c r="J152" s="476">
        <f t="shared" si="30"/>
        <v>0</v>
      </c>
      <c r="K152" s="476"/>
      <c r="L152" s="485"/>
      <c r="M152" s="476">
        <f t="shared" si="31"/>
        <v>0</v>
      </c>
      <c r="N152" s="485"/>
      <c r="O152" s="476">
        <f t="shared" si="32"/>
        <v>0</v>
      </c>
      <c r="P152" s="476">
        <f t="shared" si="33"/>
        <v>0</v>
      </c>
    </row>
    <row r="153" spans="2:16" ht="12.5">
      <c r="B153" s="160" t="str">
        <f t="shared" si="22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5"/>
        <v>0</v>
      </c>
      <c r="F153" s="483">
        <f t="shared" si="26"/>
        <v>0</v>
      </c>
      <c r="G153" s="483">
        <f t="shared" si="27"/>
        <v>0</v>
      </c>
      <c r="H153" s="484">
        <f t="shared" si="28"/>
        <v>0</v>
      </c>
      <c r="I153" s="540">
        <f t="shared" si="29"/>
        <v>0</v>
      </c>
      <c r="J153" s="476">
        <f t="shared" si="30"/>
        <v>0</v>
      </c>
      <c r="K153" s="476"/>
      <c r="L153" s="485"/>
      <c r="M153" s="476">
        <f t="shared" si="31"/>
        <v>0</v>
      </c>
      <c r="N153" s="485"/>
      <c r="O153" s="476">
        <f t="shared" si="32"/>
        <v>0</v>
      </c>
      <c r="P153" s="476">
        <f t="shared" si="33"/>
        <v>0</v>
      </c>
    </row>
    <row r="154" spans="2:16" ht="13" thickBot="1">
      <c r="B154" s="160" t="str">
        <f t="shared" si="22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5"/>
        <v>0</v>
      </c>
      <c r="F154" s="488">
        <f t="shared" si="26"/>
        <v>0</v>
      </c>
      <c r="G154" s="488">
        <f t="shared" si="27"/>
        <v>0</v>
      </c>
      <c r="H154" s="610">
        <f t="shared" ref="H154" si="34">+J$94*G154+E154</f>
        <v>0</v>
      </c>
      <c r="I154" s="611">
        <f t="shared" ref="I154" si="35">+J$95*G154+E154</f>
        <v>0</v>
      </c>
      <c r="J154" s="493">
        <f t="shared" si="30"/>
        <v>0</v>
      </c>
      <c r="K154" s="476"/>
      <c r="L154" s="492"/>
      <c r="M154" s="493">
        <f t="shared" si="31"/>
        <v>0</v>
      </c>
      <c r="N154" s="492"/>
      <c r="O154" s="493">
        <f t="shared" si="32"/>
        <v>0</v>
      </c>
      <c r="P154" s="493">
        <f t="shared" si="33"/>
        <v>0</v>
      </c>
    </row>
    <row r="155" spans="2:16" ht="12.5">
      <c r="C155" s="345" t="s">
        <v>77</v>
      </c>
      <c r="D155" s="346"/>
      <c r="E155" s="346">
        <f>SUM(E99:E154)</f>
        <v>1961220.7100000002</v>
      </c>
      <c r="F155" s="346"/>
      <c r="G155" s="346"/>
      <c r="H155" s="346">
        <f>SUM(H99:H154)</f>
        <v>6325001.689813083</v>
      </c>
      <c r="I155" s="346">
        <f>SUM(I99:I154)</f>
        <v>6325001.689813083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70"/>
  <dimension ref="A1:P162"/>
  <sheetViews>
    <sheetView topLeftCell="A65" zoomScaleNormal="100" zoomScaleSheetLayoutView="78" workbookViewId="0">
      <selection activeCell="D94" sqref="D9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21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42854.492332323091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42854.492332323091</v>
      </c>
      <c r="O6" s="231"/>
      <c r="P6" s="231"/>
    </row>
    <row r="7" spans="1:16" ht="13.5" thickBot="1">
      <c r="C7" s="429" t="s">
        <v>46</v>
      </c>
      <c r="D7" s="597" t="s">
        <v>274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295</v>
      </c>
      <c r="E9" s="575" t="s">
        <v>296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330872.36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8483.9066666666658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2017</v>
      </c>
      <c r="D17" s="582">
        <v>0</v>
      </c>
      <c r="E17" s="605">
        <v>2847.8260869565215</v>
      </c>
      <c r="F17" s="582">
        <v>259152.17391304349</v>
      </c>
      <c r="G17" s="605">
        <v>19337.763747649027</v>
      </c>
      <c r="H17" s="585">
        <v>19337.763747649027</v>
      </c>
      <c r="I17" s="473">
        <f t="shared" ref="I17:I72" si="0">H17-G17</f>
        <v>0</v>
      </c>
      <c r="J17" s="473"/>
      <c r="K17" s="475">
        <f t="shared" ref="K17:K22" si="1">+G17</f>
        <v>19337.763747649027</v>
      </c>
      <c r="L17" s="475">
        <f t="shared" ref="L17:L72" si="2">IF(K17&lt;&gt;0,+G17-K17,0)</f>
        <v>0</v>
      </c>
      <c r="M17" s="475">
        <f t="shared" ref="M17:M22" si="3">+H17</f>
        <v>19337.763747649027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2018</v>
      </c>
      <c r="D18" s="582">
        <v>259152.17391304349</v>
      </c>
      <c r="E18" s="583">
        <v>5822.2222222222226</v>
      </c>
      <c r="F18" s="582">
        <v>253329.95169082127</v>
      </c>
      <c r="G18" s="583">
        <v>36509.380469214986</v>
      </c>
      <c r="H18" s="585">
        <v>36509.380469214986</v>
      </c>
      <c r="I18" s="473">
        <f t="shared" si="0"/>
        <v>0</v>
      </c>
      <c r="J18" s="473"/>
      <c r="K18" s="476">
        <f t="shared" si="1"/>
        <v>36509.380469214986</v>
      </c>
      <c r="L18" s="476">
        <f t="shared" si="2"/>
        <v>0</v>
      </c>
      <c r="M18" s="476">
        <f t="shared" si="3"/>
        <v>36509.380469214986</v>
      </c>
      <c r="N18" s="476">
        <f t="shared" si="4"/>
        <v>0</v>
      </c>
      <c r="O18" s="476">
        <f t="shared" si="5"/>
        <v>0</v>
      </c>
      <c r="P18" s="241"/>
    </row>
    <row r="19" spans="2:16" ht="12.5">
      <c r="B19" s="160" t="str">
        <f>IF(D19=F18,"","IU")</f>
        <v/>
      </c>
      <c r="C19" s="470">
        <f>IF(D11="","-",+C18+1)</f>
        <v>2019</v>
      </c>
      <c r="D19" s="582">
        <v>253329.95169082127</v>
      </c>
      <c r="E19" s="583">
        <v>6550</v>
      </c>
      <c r="F19" s="582">
        <v>246779.95169082127</v>
      </c>
      <c r="G19" s="583">
        <v>34470.293545069071</v>
      </c>
      <c r="H19" s="585">
        <v>34470.293545069071</v>
      </c>
      <c r="I19" s="473">
        <f t="shared" si="0"/>
        <v>0</v>
      </c>
      <c r="J19" s="473"/>
      <c r="K19" s="476">
        <f t="shared" si="1"/>
        <v>34470.293545069071</v>
      </c>
      <c r="L19" s="476">
        <f t="shared" ref="L19" si="6">IF(K19&lt;&gt;0,+G19-K19,0)</f>
        <v>0</v>
      </c>
      <c r="M19" s="476">
        <f t="shared" si="3"/>
        <v>34470.293545069071</v>
      </c>
      <c r="N19" s="476">
        <f t="shared" si="4"/>
        <v>0</v>
      </c>
      <c r="O19" s="476">
        <f t="shared" si="5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2020</v>
      </c>
      <c r="D20" s="582">
        <v>316379.72946859902</v>
      </c>
      <c r="E20" s="583">
        <v>7877.9047619047615</v>
      </c>
      <c r="F20" s="582">
        <v>308501.82470669429</v>
      </c>
      <c r="G20" s="583">
        <v>41623.00118882845</v>
      </c>
      <c r="H20" s="585">
        <v>41623.00118882845</v>
      </c>
      <c r="I20" s="473">
        <f t="shared" si="0"/>
        <v>0</v>
      </c>
      <c r="J20" s="473"/>
      <c r="K20" s="476">
        <f t="shared" si="1"/>
        <v>41623.00118882845</v>
      </c>
      <c r="L20" s="476">
        <f t="shared" ref="L20" si="8">IF(K20&lt;&gt;0,+G20-K20,0)</f>
        <v>0</v>
      </c>
      <c r="M20" s="476">
        <f t="shared" si="3"/>
        <v>41623.00118882845</v>
      </c>
      <c r="N20" s="476">
        <f t="shared" si="4"/>
        <v>0</v>
      </c>
      <c r="O20" s="476">
        <f t="shared" si="5"/>
        <v>0</v>
      </c>
      <c r="P20" s="241"/>
    </row>
    <row r="21" spans="2:16" ht="12.5">
      <c r="B21" s="160" t="str">
        <f t="shared" si="7"/>
        <v>IU</v>
      </c>
      <c r="C21" s="470">
        <f>IF(D11="","-",+C20+1)</f>
        <v>2021</v>
      </c>
      <c r="D21" s="582">
        <v>307774.04692891648</v>
      </c>
      <c r="E21" s="583">
        <v>7694.6976744186049</v>
      </c>
      <c r="F21" s="582">
        <v>300079.34925449785</v>
      </c>
      <c r="G21" s="583">
        <v>40464.576318636115</v>
      </c>
      <c r="H21" s="585">
        <v>40464.576318636115</v>
      </c>
      <c r="I21" s="473">
        <f t="shared" si="0"/>
        <v>0</v>
      </c>
      <c r="J21" s="473"/>
      <c r="K21" s="476">
        <f t="shared" si="1"/>
        <v>40464.576318636115</v>
      </c>
      <c r="L21" s="476">
        <f t="shared" ref="L21" si="9">IF(K21&lt;&gt;0,+G21-K21,0)</f>
        <v>0</v>
      </c>
      <c r="M21" s="476">
        <f t="shared" si="3"/>
        <v>40464.576318636115</v>
      </c>
      <c r="N21" s="476">
        <f t="shared" si="4"/>
        <v>0</v>
      </c>
      <c r="O21" s="476">
        <f t="shared" si="5"/>
        <v>0</v>
      </c>
      <c r="P21" s="241"/>
    </row>
    <row r="22" spans="2:16" ht="12.5">
      <c r="B22" s="160" t="str">
        <f t="shared" si="7"/>
        <v/>
      </c>
      <c r="C22" s="470">
        <f>IF(D11="","-",+C21+1)</f>
        <v>2022</v>
      </c>
      <c r="D22" s="582">
        <v>300079.34925449785</v>
      </c>
      <c r="E22" s="583">
        <v>7877.9047619047615</v>
      </c>
      <c r="F22" s="582">
        <v>292201.44449259312</v>
      </c>
      <c r="G22" s="583">
        <v>39805.169882695685</v>
      </c>
      <c r="H22" s="585">
        <v>39805.169882695685</v>
      </c>
      <c r="I22" s="473">
        <f t="shared" si="0"/>
        <v>0</v>
      </c>
      <c r="J22" s="473"/>
      <c r="K22" s="476">
        <f t="shared" si="1"/>
        <v>39805.169882695685</v>
      </c>
      <c r="L22" s="476">
        <f t="shared" ref="L22" si="10">IF(K22&lt;&gt;0,+G22-K22,0)</f>
        <v>0</v>
      </c>
      <c r="M22" s="476">
        <f t="shared" si="3"/>
        <v>39805.169882695685</v>
      </c>
      <c r="N22" s="476">
        <f t="shared" si="4"/>
        <v>0</v>
      </c>
      <c r="O22" s="476">
        <f t="shared" si="5"/>
        <v>0</v>
      </c>
      <c r="P22" s="241"/>
    </row>
    <row r="23" spans="2:16" ht="12.5">
      <c r="B23" s="160" t="str">
        <f t="shared" si="7"/>
        <v>IU</v>
      </c>
      <c r="C23" s="470">
        <f>IF(D11="","-",+C22+1)</f>
        <v>2023</v>
      </c>
      <c r="D23" s="582">
        <v>292201.8044925931</v>
      </c>
      <c r="E23" s="583">
        <v>8483.9066666666658</v>
      </c>
      <c r="F23" s="582">
        <v>283717.89782592643</v>
      </c>
      <c r="G23" s="583">
        <v>42854.492332323091</v>
      </c>
      <c r="H23" s="585">
        <v>42854.492332323091</v>
      </c>
      <c r="I23" s="473">
        <f t="shared" si="0"/>
        <v>0</v>
      </c>
      <c r="J23" s="473"/>
      <c r="K23" s="476">
        <f t="shared" ref="K23" si="11">+G23</f>
        <v>42854.492332323091</v>
      </c>
      <c r="L23" s="476">
        <f t="shared" ref="L23" si="12">IF(K23&lt;&gt;0,+G23-K23,0)</f>
        <v>0</v>
      </c>
      <c r="M23" s="476">
        <f t="shared" ref="M23" si="13">+H23</f>
        <v>42854.492332323091</v>
      </c>
      <c r="N23" s="476">
        <f t="shared" si="4"/>
        <v>0</v>
      </c>
      <c r="O23" s="476">
        <f t="shared" si="5"/>
        <v>0</v>
      </c>
      <c r="P23" s="241"/>
    </row>
    <row r="24" spans="2:16" ht="12.5">
      <c r="B24" s="160" t="str">
        <f t="shared" si="7"/>
        <v/>
      </c>
      <c r="C24" s="470">
        <f>IF(D11="","-",+C23+1)</f>
        <v>2024</v>
      </c>
      <c r="D24" s="481">
        <f>IF(F23+SUM(E$17:E23)=D$10,F23,D$10-SUM(E$17:E23))</f>
        <v>283717.89782592643</v>
      </c>
      <c r="E24" s="482">
        <f t="shared" ref="E24:E72" si="14">IF(+I$14&lt;F23,I$14,D24)</f>
        <v>8483.9066666666658</v>
      </c>
      <c r="F24" s="483">
        <f t="shared" ref="F24:F72" si="15">+D24-E24</f>
        <v>275233.99115925975</v>
      </c>
      <c r="G24" s="484">
        <f t="shared" ref="G24:G72" si="16">(D24+F24)/2*I$12+E24</f>
        <v>41841.862135119562</v>
      </c>
      <c r="H24" s="453">
        <f t="shared" ref="H24:H72" si="17">+(D24+F24)/2*I$13+E24</f>
        <v>41841.862135119562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 ht="12.5">
      <c r="B25" s="160" t="str">
        <f t="shared" si="7"/>
        <v/>
      </c>
      <c r="C25" s="470">
        <f>IF(D11="","-",+C24+1)</f>
        <v>2025</v>
      </c>
      <c r="D25" s="481">
        <f>IF(F24+SUM(E$17:E24)=D$10,F24,D$10-SUM(E$17:E24))</f>
        <v>275233.99115925975</v>
      </c>
      <c r="E25" s="482">
        <f t="shared" si="14"/>
        <v>8483.9066666666658</v>
      </c>
      <c r="F25" s="483">
        <f t="shared" si="15"/>
        <v>266750.08449259307</v>
      </c>
      <c r="G25" s="484">
        <f t="shared" si="16"/>
        <v>40829.231937916033</v>
      </c>
      <c r="H25" s="453">
        <f t="shared" si="17"/>
        <v>40829.231937916033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 ht="12.5">
      <c r="B26" s="160" t="str">
        <f t="shared" si="7"/>
        <v/>
      </c>
      <c r="C26" s="470">
        <f>IF(D11="","-",+C25+1)</f>
        <v>2026</v>
      </c>
      <c r="D26" s="481">
        <f>IF(F25+SUM(E$17:E25)=D$10,F25,D$10-SUM(E$17:E25))</f>
        <v>266750.08449259307</v>
      </c>
      <c r="E26" s="482">
        <f t="shared" si="14"/>
        <v>8483.9066666666658</v>
      </c>
      <c r="F26" s="483">
        <f t="shared" si="15"/>
        <v>258266.1778259264</v>
      </c>
      <c r="G26" s="484">
        <f t="shared" si="16"/>
        <v>39816.601740712496</v>
      </c>
      <c r="H26" s="453">
        <f t="shared" si="17"/>
        <v>39816.601740712496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 ht="12.5">
      <c r="B27" s="160" t="str">
        <f t="shared" si="7"/>
        <v/>
      </c>
      <c r="C27" s="470">
        <f>IF(D11="","-",+C26+1)</f>
        <v>2027</v>
      </c>
      <c r="D27" s="481">
        <f>IF(F26+SUM(E$17:E26)=D$10,F26,D$10-SUM(E$17:E26))</f>
        <v>258266.1778259264</v>
      </c>
      <c r="E27" s="482">
        <f t="shared" si="14"/>
        <v>8483.9066666666658</v>
      </c>
      <c r="F27" s="483">
        <f t="shared" si="15"/>
        <v>249782.27115925972</v>
      </c>
      <c r="G27" s="484">
        <f t="shared" si="16"/>
        <v>38803.971543508967</v>
      </c>
      <c r="H27" s="453">
        <f t="shared" si="17"/>
        <v>38803.971543508967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 ht="12.5">
      <c r="B28" s="160" t="str">
        <f t="shared" si="7"/>
        <v/>
      </c>
      <c r="C28" s="470">
        <f>IF(D11="","-",+C27+1)</f>
        <v>2028</v>
      </c>
      <c r="D28" s="481">
        <f>IF(F27+SUM(E$17:E27)=D$10,F27,D$10-SUM(E$17:E27))</f>
        <v>249782.27115925972</v>
      </c>
      <c r="E28" s="482">
        <f t="shared" si="14"/>
        <v>8483.9066666666658</v>
      </c>
      <c r="F28" s="483">
        <f t="shared" si="15"/>
        <v>241298.36449259304</v>
      </c>
      <c r="G28" s="484">
        <f t="shared" si="16"/>
        <v>37791.341346305431</v>
      </c>
      <c r="H28" s="453">
        <f t="shared" si="17"/>
        <v>37791.341346305431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 ht="12.5">
      <c r="B29" s="160" t="str">
        <f t="shared" si="7"/>
        <v/>
      </c>
      <c r="C29" s="470">
        <f>IF(D11="","-",+C28+1)</f>
        <v>2029</v>
      </c>
      <c r="D29" s="481">
        <f>IF(F28+SUM(E$17:E28)=D$10,F28,D$10-SUM(E$17:E28))</f>
        <v>241298.36449259304</v>
      </c>
      <c r="E29" s="482">
        <f t="shared" si="14"/>
        <v>8483.9066666666658</v>
      </c>
      <c r="F29" s="483">
        <f t="shared" si="15"/>
        <v>232814.45782592637</v>
      </c>
      <c r="G29" s="484">
        <f t="shared" si="16"/>
        <v>36778.711149101902</v>
      </c>
      <c r="H29" s="453">
        <f t="shared" si="17"/>
        <v>36778.711149101902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 ht="12.5">
      <c r="B30" s="160" t="str">
        <f t="shared" si="7"/>
        <v/>
      </c>
      <c r="C30" s="470">
        <f>IF(D11="","-",+C29+1)</f>
        <v>2030</v>
      </c>
      <c r="D30" s="481">
        <f>IF(F29+SUM(E$17:E29)=D$10,F29,D$10-SUM(E$17:E29))</f>
        <v>232814.45782592637</v>
      </c>
      <c r="E30" s="482">
        <f t="shared" si="14"/>
        <v>8483.9066666666658</v>
      </c>
      <c r="F30" s="483">
        <f t="shared" si="15"/>
        <v>224330.55115925969</v>
      </c>
      <c r="G30" s="484">
        <f t="shared" si="16"/>
        <v>35766.080951898373</v>
      </c>
      <c r="H30" s="453">
        <f t="shared" si="17"/>
        <v>35766.080951898373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 ht="12.5">
      <c r="B31" s="160" t="str">
        <f t="shared" si="7"/>
        <v/>
      </c>
      <c r="C31" s="470">
        <f>IF(D11="","-",+C30+1)</f>
        <v>2031</v>
      </c>
      <c r="D31" s="481">
        <f>IF(F30+SUM(E$17:E30)=D$10,F30,D$10-SUM(E$17:E30))</f>
        <v>224330.55115925969</v>
      </c>
      <c r="E31" s="482">
        <f t="shared" si="14"/>
        <v>8483.9066666666658</v>
      </c>
      <c r="F31" s="483">
        <f t="shared" si="15"/>
        <v>215846.64449259301</v>
      </c>
      <c r="G31" s="484">
        <f t="shared" si="16"/>
        <v>34753.450754694844</v>
      </c>
      <c r="H31" s="453">
        <f t="shared" si="17"/>
        <v>34753.450754694844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 ht="12.5">
      <c r="B32" s="160" t="str">
        <f t="shared" si="7"/>
        <v/>
      </c>
      <c r="C32" s="470">
        <f>IF(D11="","-",+C31+1)</f>
        <v>2032</v>
      </c>
      <c r="D32" s="481">
        <f>IF(F31+SUM(E$17:E31)=D$10,F31,D$10-SUM(E$17:E31))</f>
        <v>215846.64449259301</v>
      </c>
      <c r="E32" s="482">
        <f t="shared" si="14"/>
        <v>8483.9066666666658</v>
      </c>
      <c r="F32" s="483">
        <f t="shared" si="15"/>
        <v>207362.73782592634</v>
      </c>
      <c r="G32" s="484">
        <f t="shared" si="16"/>
        <v>33740.820557491315</v>
      </c>
      <c r="H32" s="453">
        <f t="shared" si="17"/>
        <v>33740.820557491315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 ht="12.5">
      <c r="B33" s="160" t="str">
        <f t="shared" si="7"/>
        <v/>
      </c>
      <c r="C33" s="470">
        <f>IF(D11="","-",+C32+1)</f>
        <v>2033</v>
      </c>
      <c r="D33" s="481">
        <f>IF(F32+SUM(E$17:E32)=D$10,F32,D$10-SUM(E$17:E32))</f>
        <v>207362.73782592634</v>
      </c>
      <c r="E33" s="482">
        <f t="shared" si="14"/>
        <v>8483.9066666666658</v>
      </c>
      <c r="F33" s="483">
        <f t="shared" si="15"/>
        <v>198878.83115925966</v>
      </c>
      <c r="G33" s="484">
        <f t="shared" si="16"/>
        <v>32728.190360287783</v>
      </c>
      <c r="H33" s="453">
        <f t="shared" si="17"/>
        <v>32728.190360287783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 ht="12.5">
      <c r="B34" s="160" t="str">
        <f t="shared" si="7"/>
        <v/>
      </c>
      <c r="C34" s="470">
        <f>IF(D11="","-",+C33+1)</f>
        <v>2034</v>
      </c>
      <c r="D34" s="481">
        <f>IF(F33+SUM(E$17:E33)=D$10,F33,D$10-SUM(E$17:E33))</f>
        <v>198878.83115925966</v>
      </c>
      <c r="E34" s="482">
        <f t="shared" si="14"/>
        <v>8483.9066666666658</v>
      </c>
      <c r="F34" s="483">
        <f t="shared" si="15"/>
        <v>190394.92449259298</v>
      </c>
      <c r="G34" s="484">
        <f t="shared" si="16"/>
        <v>31715.56016308425</v>
      </c>
      <c r="H34" s="453">
        <f t="shared" si="17"/>
        <v>31715.56016308425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 ht="12.5">
      <c r="B35" s="160" t="str">
        <f t="shared" si="7"/>
        <v/>
      </c>
      <c r="C35" s="470">
        <f>IF(D11="","-",+C34+1)</f>
        <v>2035</v>
      </c>
      <c r="D35" s="481">
        <f>IF(F34+SUM(E$17:E34)=D$10,F34,D$10-SUM(E$17:E34))</f>
        <v>190394.92449259298</v>
      </c>
      <c r="E35" s="482">
        <f t="shared" si="14"/>
        <v>8483.9066666666658</v>
      </c>
      <c r="F35" s="483">
        <f t="shared" si="15"/>
        <v>181911.0178259263</v>
      </c>
      <c r="G35" s="484">
        <f t="shared" si="16"/>
        <v>30702.929965880718</v>
      </c>
      <c r="H35" s="453">
        <f t="shared" si="17"/>
        <v>30702.929965880718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 ht="12.5">
      <c r="B36" s="160" t="str">
        <f t="shared" si="7"/>
        <v/>
      </c>
      <c r="C36" s="470">
        <f>IF(D11="","-",+C35+1)</f>
        <v>2036</v>
      </c>
      <c r="D36" s="481">
        <f>IF(F35+SUM(E$17:E35)=D$10,F35,D$10-SUM(E$17:E35))</f>
        <v>181911.0178259263</v>
      </c>
      <c r="E36" s="482">
        <f t="shared" si="14"/>
        <v>8483.9066666666658</v>
      </c>
      <c r="F36" s="483">
        <f t="shared" si="15"/>
        <v>173427.11115925963</v>
      </c>
      <c r="G36" s="484">
        <f t="shared" si="16"/>
        <v>29690.299768677189</v>
      </c>
      <c r="H36" s="453">
        <f t="shared" si="17"/>
        <v>29690.299768677189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 ht="12.5">
      <c r="B37" s="160" t="str">
        <f t="shared" si="7"/>
        <v/>
      </c>
      <c r="C37" s="470">
        <f>IF(D11="","-",+C36+1)</f>
        <v>2037</v>
      </c>
      <c r="D37" s="481">
        <f>IF(F36+SUM(E$17:E36)=D$10,F36,D$10-SUM(E$17:E36))</f>
        <v>173427.11115925963</v>
      </c>
      <c r="E37" s="482">
        <f t="shared" si="14"/>
        <v>8483.9066666666658</v>
      </c>
      <c r="F37" s="483">
        <f t="shared" si="15"/>
        <v>164943.20449259295</v>
      </c>
      <c r="G37" s="484">
        <f t="shared" si="16"/>
        <v>28677.669571473656</v>
      </c>
      <c r="H37" s="453">
        <f t="shared" si="17"/>
        <v>28677.669571473656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 ht="12.5">
      <c r="B38" s="160" t="str">
        <f t="shared" si="7"/>
        <v/>
      </c>
      <c r="C38" s="470">
        <f>IF(D11="","-",+C37+1)</f>
        <v>2038</v>
      </c>
      <c r="D38" s="481">
        <f>IF(F37+SUM(E$17:E37)=D$10,F37,D$10-SUM(E$17:E37))</f>
        <v>164943.20449259295</v>
      </c>
      <c r="E38" s="482">
        <f t="shared" si="14"/>
        <v>8483.9066666666658</v>
      </c>
      <c r="F38" s="483">
        <f t="shared" si="15"/>
        <v>156459.29782592627</v>
      </c>
      <c r="G38" s="484">
        <f t="shared" si="16"/>
        <v>27665.039374270127</v>
      </c>
      <c r="H38" s="453">
        <f t="shared" si="17"/>
        <v>27665.039374270127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 ht="12.5">
      <c r="B39" s="160" t="str">
        <f t="shared" si="7"/>
        <v/>
      </c>
      <c r="C39" s="470">
        <f>IF(D11="","-",+C38+1)</f>
        <v>2039</v>
      </c>
      <c r="D39" s="481">
        <f>IF(F38+SUM(E$17:E38)=D$10,F38,D$10-SUM(E$17:E38))</f>
        <v>156459.29782592627</v>
      </c>
      <c r="E39" s="482">
        <f t="shared" si="14"/>
        <v>8483.9066666666658</v>
      </c>
      <c r="F39" s="483">
        <f t="shared" si="15"/>
        <v>147975.3911592596</v>
      </c>
      <c r="G39" s="484">
        <f t="shared" si="16"/>
        <v>26652.409177066595</v>
      </c>
      <c r="H39" s="453">
        <f t="shared" si="17"/>
        <v>26652.409177066595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 ht="12.5">
      <c r="B40" s="160" t="str">
        <f t="shared" si="7"/>
        <v/>
      </c>
      <c r="C40" s="470">
        <f>IF(D11="","-",+C39+1)</f>
        <v>2040</v>
      </c>
      <c r="D40" s="481">
        <f>IF(F39+SUM(E$17:E39)=D$10,F39,D$10-SUM(E$17:E39))</f>
        <v>147975.3911592596</v>
      </c>
      <c r="E40" s="482">
        <f t="shared" si="14"/>
        <v>8483.9066666666658</v>
      </c>
      <c r="F40" s="483">
        <f t="shared" si="15"/>
        <v>139491.48449259292</v>
      </c>
      <c r="G40" s="484">
        <f t="shared" si="16"/>
        <v>25639.778979863062</v>
      </c>
      <c r="H40" s="453">
        <f t="shared" si="17"/>
        <v>25639.778979863062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 ht="12.5">
      <c r="B41" s="160" t="str">
        <f t="shared" si="7"/>
        <v/>
      </c>
      <c r="C41" s="470">
        <f>IF(D11="","-",+C40+1)</f>
        <v>2041</v>
      </c>
      <c r="D41" s="481">
        <f>IF(F40+SUM(E$17:E40)=D$10,F40,D$10-SUM(E$17:E40))</f>
        <v>139491.48449259292</v>
      </c>
      <c r="E41" s="482">
        <f t="shared" si="14"/>
        <v>8483.9066666666658</v>
      </c>
      <c r="F41" s="483">
        <f t="shared" si="15"/>
        <v>131007.57782592626</v>
      </c>
      <c r="G41" s="484">
        <f t="shared" si="16"/>
        <v>24627.148782659533</v>
      </c>
      <c r="H41" s="453">
        <f t="shared" si="17"/>
        <v>24627.148782659533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 ht="12.5">
      <c r="B42" s="160" t="str">
        <f t="shared" si="7"/>
        <v/>
      </c>
      <c r="C42" s="470">
        <f>IF(D11="","-",+C41+1)</f>
        <v>2042</v>
      </c>
      <c r="D42" s="481">
        <f>IF(F41+SUM(E$17:E41)=D$10,F41,D$10-SUM(E$17:E41))</f>
        <v>131007.57782592626</v>
      </c>
      <c r="E42" s="482">
        <f t="shared" si="14"/>
        <v>8483.9066666666658</v>
      </c>
      <c r="F42" s="483">
        <f t="shared" si="15"/>
        <v>122523.6711592596</v>
      </c>
      <c r="G42" s="484">
        <f t="shared" si="16"/>
        <v>23614.518585456004</v>
      </c>
      <c r="H42" s="453">
        <f t="shared" si="17"/>
        <v>23614.518585456004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 ht="12.5">
      <c r="B43" s="160" t="str">
        <f t="shared" si="7"/>
        <v/>
      </c>
      <c r="C43" s="470">
        <f>IF(D11="","-",+C42+1)</f>
        <v>2043</v>
      </c>
      <c r="D43" s="481">
        <f>IF(F42+SUM(E$17:E42)=D$10,F42,D$10-SUM(E$17:E42))</f>
        <v>122523.6711592596</v>
      </c>
      <c r="E43" s="482">
        <f t="shared" si="14"/>
        <v>8483.9066666666658</v>
      </c>
      <c r="F43" s="483">
        <f t="shared" si="15"/>
        <v>114039.76449259293</v>
      </c>
      <c r="G43" s="484">
        <f t="shared" si="16"/>
        <v>22601.888388252475</v>
      </c>
      <c r="H43" s="453">
        <f t="shared" si="17"/>
        <v>22601.888388252475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 ht="12.5">
      <c r="B44" s="160" t="str">
        <f t="shared" si="7"/>
        <v/>
      </c>
      <c r="C44" s="470">
        <f>IF(D11="","-",+C43+1)</f>
        <v>2044</v>
      </c>
      <c r="D44" s="481">
        <f>IF(F43+SUM(E$17:E43)=D$10,F43,D$10-SUM(E$17:E43))</f>
        <v>114039.76449259293</v>
      </c>
      <c r="E44" s="482">
        <f t="shared" si="14"/>
        <v>8483.9066666666658</v>
      </c>
      <c r="F44" s="483">
        <f t="shared" si="15"/>
        <v>105555.85782592627</v>
      </c>
      <c r="G44" s="484">
        <f t="shared" si="16"/>
        <v>21589.258191048946</v>
      </c>
      <c r="H44" s="453">
        <f t="shared" si="17"/>
        <v>21589.258191048946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 ht="12.5">
      <c r="B45" s="160" t="str">
        <f t="shared" si="7"/>
        <v/>
      </c>
      <c r="C45" s="470">
        <f>IF(D11="","-",+C44+1)</f>
        <v>2045</v>
      </c>
      <c r="D45" s="481">
        <f>IF(F44+SUM(E$17:E44)=D$10,F44,D$10-SUM(E$17:E44))</f>
        <v>105555.85782592627</v>
      </c>
      <c r="E45" s="482">
        <f t="shared" si="14"/>
        <v>8483.9066666666658</v>
      </c>
      <c r="F45" s="483">
        <f t="shared" si="15"/>
        <v>97071.95115925961</v>
      </c>
      <c r="G45" s="484">
        <f t="shared" si="16"/>
        <v>20576.627993845417</v>
      </c>
      <c r="H45" s="453">
        <f t="shared" si="17"/>
        <v>20576.627993845417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 ht="12.5">
      <c r="B46" s="160" t="str">
        <f t="shared" si="7"/>
        <v/>
      </c>
      <c r="C46" s="470">
        <f>IF(D11="","-",+C45+1)</f>
        <v>2046</v>
      </c>
      <c r="D46" s="481">
        <f>IF(F45+SUM(E$17:E45)=D$10,F45,D$10-SUM(E$17:E45))</f>
        <v>97071.95115925961</v>
      </c>
      <c r="E46" s="482">
        <f t="shared" si="14"/>
        <v>8483.9066666666658</v>
      </c>
      <c r="F46" s="483">
        <f t="shared" si="15"/>
        <v>88588.044492592948</v>
      </c>
      <c r="G46" s="484">
        <f t="shared" si="16"/>
        <v>19563.997796641888</v>
      </c>
      <c r="H46" s="453">
        <f t="shared" si="17"/>
        <v>19563.997796641888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 ht="12.5">
      <c r="B47" s="160" t="str">
        <f t="shared" si="7"/>
        <v/>
      </c>
      <c r="C47" s="470">
        <f>IF(D11="","-",+C46+1)</f>
        <v>2047</v>
      </c>
      <c r="D47" s="481">
        <f>IF(F46+SUM(E$17:E46)=D$10,F46,D$10-SUM(E$17:E46))</f>
        <v>88588.044492592948</v>
      </c>
      <c r="E47" s="482">
        <f t="shared" si="14"/>
        <v>8483.9066666666658</v>
      </c>
      <c r="F47" s="483">
        <f t="shared" si="15"/>
        <v>80104.137825926286</v>
      </c>
      <c r="G47" s="484">
        <f t="shared" si="16"/>
        <v>18551.367599438356</v>
      </c>
      <c r="H47" s="453">
        <f t="shared" si="17"/>
        <v>18551.367599438356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 ht="12.5">
      <c r="B48" s="160" t="str">
        <f t="shared" si="7"/>
        <v/>
      </c>
      <c r="C48" s="470">
        <f>IF(D11="","-",+C47+1)</f>
        <v>2048</v>
      </c>
      <c r="D48" s="481">
        <f>IF(F47+SUM(E$17:E47)=D$10,F47,D$10-SUM(E$17:E47))</f>
        <v>80104.137825926286</v>
      </c>
      <c r="E48" s="482">
        <f t="shared" si="14"/>
        <v>8483.9066666666658</v>
      </c>
      <c r="F48" s="483">
        <f t="shared" si="15"/>
        <v>71620.231159259623</v>
      </c>
      <c r="G48" s="484">
        <f t="shared" si="16"/>
        <v>17538.73740223483</v>
      </c>
      <c r="H48" s="453">
        <f t="shared" si="17"/>
        <v>17538.73740223483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 ht="12.5">
      <c r="B49" s="160" t="str">
        <f t="shared" si="7"/>
        <v/>
      </c>
      <c r="C49" s="470">
        <f>IF(D11="","-",+C48+1)</f>
        <v>2049</v>
      </c>
      <c r="D49" s="481">
        <f>IF(F48+SUM(E$17:E48)=D$10,F48,D$10-SUM(E$17:E48))</f>
        <v>71620.231159259623</v>
      </c>
      <c r="E49" s="482">
        <f t="shared" si="14"/>
        <v>8483.9066666666658</v>
      </c>
      <c r="F49" s="483">
        <f t="shared" si="15"/>
        <v>63136.324492592961</v>
      </c>
      <c r="G49" s="484">
        <f t="shared" si="16"/>
        <v>16526.107205031298</v>
      </c>
      <c r="H49" s="453">
        <f t="shared" si="17"/>
        <v>16526.107205031298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 ht="12.5">
      <c r="B50" s="160" t="str">
        <f t="shared" si="7"/>
        <v/>
      </c>
      <c r="C50" s="470">
        <f>IF(D11="","-",+C49+1)</f>
        <v>2050</v>
      </c>
      <c r="D50" s="481">
        <f>IF(F49+SUM(E$17:E49)=D$10,F49,D$10-SUM(E$17:E49))</f>
        <v>63136.324492592961</v>
      </c>
      <c r="E50" s="482">
        <f t="shared" si="14"/>
        <v>8483.9066666666658</v>
      </c>
      <c r="F50" s="483">
        <f t="shared" si="15"/>
        <v>54652.417825926299</v>
      </c>
      <c r="G50" s="484">
        <f t="shared" si="16"/>
        <v>15513.477007827769</v>
      </c>
      <c r="H50" s="453">
        <f t="shared" si="17"/>
        <v>15513.477007827769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 ht="12.5">
      <c r="B51" s="160" t="str">
        <f t="shared" si="7"/>
        <v/>
      </c>
      <c r="C51" s="470">
        <f>IF(D11="","-",+C50+1)</f>
        <v>2051</v>
      </c>
      <c r="D51" s="481">
        <f>IF(F50+SUM(E$17:E50)=D$10,F50,D$10-SUM(E$17:E50))</f>
        <v>54652.417825926299</v>
      </c>
      <c r="E51" s="482">
        <f t="shared" si="14"/>
        <v>8483.9066666666658</v>
      </c>
      <c r="F51" s="483">
        <f t="shared" si="15"/>
        <v>46168.511159259637</v>
      </c>
      <c r="G51" s="484">
        <f t="shared" si="16"/>
        <v>14500.84681062424</v>
      </c>
      <c r="H51" s="453">
        <f t="shared" si="17"/>
        <v>14500.84681062424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 ht="12.5">
      <c r="B52" s="160" t="str">
        <f t="shared" si="7"/>
        <v/>
      </c>
      <c r="C52" s="470">
        <f>IF(D11="","-",+C51+1)</f>
        <v>2052</v>
      </c>
      <c r="D52" s="481">
        <f>IF(F51+SUM(E$17:E51)=D$10,F51,D$10-SUM(E$17:E51))</f>
        <v>46168.511159259637</v>
      </c>
      <c r="E52" s="482">
        <f t="shared" si="14"/>
        <v>8483.9066666666658</v>
      </c>
      <c r="F52" s="483">
        <f t="shared" si="15"/>
        <v>37684.604492592975</v>
      </c>
      <c r="G52" s="484">
        <f t="shared" si="16"/>
        <v>13488.216613420711</v>
      </c>
      <c r="H52" s="453">
        <f t="shared" si="17"/>
        <v>13488.216613420711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 ht="12.5">
      <c r="B53" s="160" t="str">
        <f t="shared" si="7"/>
        <v/>
      </c>
      <c r="C53" s="470">
        <f>IF(D11="","-",+C52+1)</f>
        <v>2053</v>
      </c>
      <c r="D53" s="481">
        <f>IF(F52+SUM(E$17:E52)=D$10,F52,D$10-SUM(E$17:E52))</f>
        <v>37684.604492592975</v>
      </c>
      <c r="E53" s="482">
        <f t="shared" si="14"/>
        <v>8483.9066666666658</v>
      </c>
      <c r="F53" s="483">
        <f t="shared" si="15"/>
        <v>29200.697825926309</v>
      </c>
      <c r="G53" s="484">
        <f t="shared" si="16"/>
        <v>12475.586416217182</v>
      </c>
      <c r="H53" s="453">
        <f t="shared" si="17"/>
        <v>12475.586416217182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 ht="12.5">
      <c r="B54" s="160" t="str">
        <f t="shared" si="7"/>
        <v/>
      </c>
      <c r="C54" s="470">
        <f>IF(D11="","-",+C53+1)</f>
        <v>2054</v>
      </c>
      <c r="D54" s="481">
        <f>IF(F53+SUM(E$17:E53)=D$10,F53,D$10-SUM(E$17:E53))</f>
        <v>29200.697825926309</v>
      </c>
      <c r="E54" s="482">
        <f t="shared" si="14"/>
        <v>8483.9066666666658</v>
      </c>
      <c r="F54" s="483">
        <f t="shared" si="15"/>
        <v>20716.791159259643</v>
      </c>
      <c r="G54" s="484">
        <f t="shared" si="16"/>
        <v>11462.956219013651</v>
      </c>
      <c r="H54" s="453">
        <f t="shared" si="17"/>
        <v>11462.956219013651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 ht="12.5">
      <c r="B55" s="160" t="str">
        <f t="shared" si="7"/>
        <v/>
      </c>
      <c r="C55" s="470">
        <f>IF(D11="","-",+C54+1)</f>
        <v>2055</v>
      </c>
      <c r="D55" s="481">
        <f>IF(F54+SUM(E$17:E54)=D$10,F54,D$10-SUM(E$17:E54))</f>
        <v>20716.791159259643</v>
      </c>
      <c r="E55" s="482">
        <f t="shared" si="14"/>
        <v>8483.9066666666658</v>
      </c>
      <c r="F55" s="483">
        <f t="shared" si="15"/>
        <v>12232.884492592977</v>
      </c>
      <c r="G55" s="484">
        <f t="shared" si="16"/>
        <v>10450.326021810122</v>
      </c>
      <c r="H55" s="453">
        <f t="shared" si="17"/>
        <v>10450.326021810122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 ht="12.5">
      <c r="B56" s="160" t="str">
        <f t="shared" si="7"/>
        <v/>
      </c>
      <c r="C56" s="470">
        <f>IF(D11="","-",+C55+1)</f>
        <v>2056</v>
      </c>
      <c r="D56" s="481">
        <f>IF(F55+SUM(E$17:E55)=D$10,F55,D$10-SUM(E$17:E55))</f>
        <v>12232.884492592977</v>
      </c>
      <c r="E56" s="482">
        <f t="shared" si="14"/>
        <v>8483.9066666666658</v>
      </c>
      <c r="F56" s="483">
        <f t="shared" si="15"/>
        <v>3748.9778259263112</v>
      </c>
      <c r="G56" s="484">
        <f t="shared" si="16"/>
        <v>9437.6958246065915</v>
      </c>
      <c r="H56" s="453">
        <f t="shared" si="17"/>
        <v>9437.6958246065915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 ht="12.5">
      <c r="B57" s="160" t="str">
        <f t="shared" si="7"/>
        <v/>
      </c>
      <c r="C57" s="470">
        <f>IF(D11="","-",+C56+1)</f>
        <v>2057</v>
      </c>
      <c r="D57" s="481">
        <f>IF(F56+SUM(E$17:E56)=D$10,F56,D$10-SUM(E$17:E56))</f>
        <v>3748.9778259263112</v>
      </c>
      <c r="E57" s="482">
        <f t="shared" si="14"/>
        <v>3748.9778259263112</v>
      </c>
      <c r="F57" s="483">
        <f t="shared" si="15"/>
        <v>0</v>
      </c>
      <c r="G57" s="484">
        <f t="shared" si="16"/>
        <v>3972.7148555953918</v>
      </c>
      <c r="H57" s="453">
        <f t="shared" si="17"/>
        <v>3972.7148555953918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 ht="12.5">
      <c r="B58" s="160" t="str">
        <f t="shared" si="7"/>
        <v/>
      </c>
      <c r="C58" s="470">
        <f>IF(D11="","-",+C57+1)</f>
        <v>2058</v>
      </c>
      <c r="D58" s="481">
        <f>IF(F57+SUM(E$17:E57)=D$10,F57,D$10-SUM(E$17:E57))</f>
        <v>0</v>
      </c>
      <c r="E58" s="482">
        <f t="shared" si="14"/>
        <v>0</v>
      </c>
      <c r="F58" s="483">
        <f t="shared" si="15"/>
        <v>0</v>
      </c>
      <c r="G58" s="484">
        <f t="shared" si="16"/>
        <v>0</v>
      </c>
      <c r="H58" s="453">
        <f t="shared" si="17"/>
        <v>0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 ht="12.5">
      <c r="B59" s="160" t="str">
        <f t="shared" si="7"/>
        <v/>
      </c>
      <c r="C59" s="470">
        <f>IF(D11="","-",+C58+1)</f>
        <v>2059</v>
      </c>
      <c r="D59" s="481">
        <f>IF(F58+SUM(E$17:E58)=D$10,F58,D$10-SUM(E$17:E58))</f>
        <v>0</v>
      </c>
      <c r="E59" s="482">
        <f t="shared" si="14"/>
        <v>0</v>
      </c>
      <c r="F59" s="483">
        <f t="shared" si="15"/>
        <v>0</v>
      </c>
      <c r="G59" s="484">
        <f t="shared" si="16"/>
        <v>0</v>
      </c>
      <c r="H59" s="453">
        <f t="shared" si="17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 ht="12.5">
      <c r="B60" s="160" t="str">
        <f t="shared" si="7"/>
        <v/>
      </c>
      <c r="C60" s="470">
        <f>IF(D11="","-",+C59+1)</f>
        <v>2060</v>
      </c>
      <c r="D60" s="481">
        <f>IF(F59+SUM(E$17:E59)=D$10,F59,D$10-SUM(E$17:E59))</f>
        <v>0</v>
      </c>
      <c r="E60" s="482">
        <f t="shared" si="14"/>
        <v>0</v>
      </c>
      <c r="F60" s="483">
        <f t="shared" si="15"/>
        <v>0</v>
      </c>
      <c r="G60" s="484">
        <f t="shared" si="16"/>
        <v>0</v>
      </c>
      <c r="H60" s="453">
        <f t="shared" si="17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 ht="12.5">
      <c r="B61" s="160" t="str">
        <f t="shared" si="7"/>
        <v/>
      </c>
      <c r="C61" s="470">
        <f>IF(D11="","-",+C60+1)</f>
        <v>2061</v>
      </c>
      <c r="D61" s="481">
        <f>IF(F60+SUM(E$17:E60)=D$10,F60,D$10-SUM(E$17:E60))</f>
        <v>0</v>
      </c>
      <c r="E61" s="482">
        <f t="shared" si="14"/>
        <v>0</v>
      </c>
      <c r="F61" s="483">
        <f t="shared" si="15"/>
        <v>0</v>
      </c>
      <c r="G61" s="484">
        <f t="shared" si="16"/>
        <v>0</v>
      </c>
      <c r="H61" s="453">
        <f t="shared" si="17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 ht="12.5">
      <c r="B62" s="160" t="str">
        <f t="shared" si="7"/>
        <v/>
      </c>
      <c r="C62" s="470">
        <f>IF(D11="","-",+C61+1)</f>
        <v>2062</v>
      </c>
      <c r="D62" s="481">
        <f>IF(F61+SUM(E$17:E61)=D$10,F61,D$10-SUM(E$17:E61))</f>
        <v>0</v>
      </c>
      <c r="E62" s="482">
        <f t="shared" si="14"/>
        <v>0</v>
      </c>
      <c r="F62" s="483">
        <f t="shared" si="15"/>
        <v>0</v>
      </c>
      <c r="G62" s="484">
        <f t="shared" si="16"/>
        <v>0</v>
      </c>
      <c r="H62" s="453">
        <f t="shared" si="17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 ht="12.5">
      <c r="B63" s="160" t="str">
        <f t="shared" si="7"/>
        <v/>
      </c>
      <c r="C63" s="470">
        <f>IF(D11="","-",+C62+1)</f>
        <v>2063</v>
      </c>
      <c r="D63" s="481">
        <f>IF(F62+SUM(E$17:E62)=D$10,F62,D$10-SUM(E$17:E62))</f>
        <v>0</v>
      </c>
      <c r="E63" s="482">
        <f t="shared" si="14"/>
        <v>0</v>
      </c>
      <c r="F63" s="483">
        <f t="shared" si="15"/>
        <v>0</v>
      </c>
      <c r="G63" s="484">
        <f t="shared" si="16"/>
        <v>0</v>
      </c>
      <c r="H63" s="453">
        <f t="shared" si="17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 ht="12.5">
      <c r="B64" s="160" t="str">
        <f t="shared" si="7"/>
        <v/>
      </c>
      <c r="C64" s="470">
        <f>IF(D11="","-",+C63+1)</f>
        <v>2064</v>
      </c>
      <c r="D64" s="481">
        <f>IF(F63+SUM(E$17:E63)=D$10,F63,D$10-SUM(E$17:E63))</f>
        <v>0</v>
      </c>
      <c r="E64" s="482">
        <f t="shared" si="14"/>
        <v>0</v>
      </c>
      <c r="F64" s="483">
        <f t="shared" si="15"/>
        <v>0</v>
      </c>
      <c r="G64" s="484">
        <f t="shared" si="16"/>
        <v>0</v>
      </c>
      <c r="H64" s="453">
        <f t="shared" si="17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 ht="12.5">
      <c r="B65" s="160" t="str">
        <f t="shared" si="7"/>
        <v/>
      </c>
      <c r="C65" s="470">
        <f>IF(D11="","-",+C64+1)</f>
        <v>2065</v>
      </c>
      <c r="D65" s="481">
        <f>IF(F64+SUM(E$17:E64)=D$10,F64,D$10-SUM(E$17:E64))</f>
        <v>0</v>
      </c>
      <c r="E65" s="482">
        <f t="shared" si="14"/>
        <v>0</v>
      </c>
      <c r="F65" s="483">
        <f t="shared" si="15"/>
        <v>0</v>
      </c>
      <c r="G65" s="484">
        <f t="shared" si="16"/>
        <v>0</v>
      </c>
      <c r="H65" s="453">
        <f t="shared" si="17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 ht="12.5">
      <c r="B66" s="160" t="str">
        <f t="shared" si="7"/>
        <v/>
      </c>
      <c r="C66" s="470">
        <f>IF(D11="","-",+C65+1)</f>
        <v>2066</v>
      </c>
      <c r="D66" s="481">
        <f>IF(F65+SUM(E$17:E65)=D$10,F65,D$10-SUM(E$17:E65))</f>
        <v>0</v>
      </c>
      <c r="E66" s="482">
        <f t="shared" si="14"/>
        <v>0</v>
      </c>
      <c r="F66" s="483">
        <f t="shared" si="15"/>
        <v>0</v>
      </c>
      <c r="G66" s="484">
        <f t="shared" si="16"/>
        <v>0</v>
      </c>
      <c r="H66" s="453">
        <f t="shared" si="17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 ht="12.5">
      <c r="B67" s="160" t="str">
        <f t="shared" si="7"/>
        <v/>
      </c>
      <c r="C67" s="470">
        <f>IF(D11="","-",+C66+1)</f>
        <v>2067</v>
      </c>
      <c r="D67" s="481">
        <f>IF(F66+SUM(E$17:E66)=D$10,F66,D$10-SUM(E$17:E66))</f>
        <v>0</v>
      </c>
      <c r="E67" s="482">
        <f t="shared" si="14"/>
        <v>0</v>
      </c>
      <c r="F67" s="483">
        <f t="shared" si="15"/>
        <v>0</v>
      </c>
      <c r="G67" s="484">
        <f t="shared" si="16"/>
        <v>0</v>
      </c>
      <c r="H67" s="453">
        <f t="shared" si="17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 ht="12.5">
      <c r="B68" s="160" t="str">
        <f t="shared" si="7"/>
        <v/>
      </c>
      <c r="C68" s="470">
        <f>IF(D11="","-",+C67+1)</f>
        <v>2068</v>
      </c>
      <c r="D68" s="481">
        <f>IF(F67+SUM(E$17:E67)=D$10,F67,D$10-SUM(E$17:E67))</f>
        <v>0</v>
      </c>
      <c r="E68" s="482">
        <f t="shared" si="14"/>
        <v>0</v>
      </c>
      <c r="F68" s="483">
        <f t="shared" si="15"/>
        <v>0</v>
      </c>
      <c r="G68" s="484">
        <f t="shared" si="16"/>
        <v>0</v>
      </c>
      <c r="H68" s="453">
        <f t="shared" si="17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 ht="12.5">
      <c r="B69" s="160" t="str">
        <f t="shared" si="7"/>
        <v/>
      </c>
      <c r="C69" s="470">
        <f>IF(D11="","-",+C68+1)</f>
        <v>2069</v>
      </c>
      <c r="D69" s="481">
        <f>IF(F68+SUM(E$17:E68)=D$10,F68,D$10-SUM(E$17:E68))</f>
        <v>0</v>
      </c>
      <c r="E69" s="482">
        <f t="shared" si="14"/>
        <v>0</v>
      </c>
      <c r="F69" s="483">
        <f t="shared" si="15"/>
        <v>0</v>
      </c>
      <c r="G69" s="484">
        <f t="shared" si="16"/>
        <v>0</v>
      </c>
      <c r="H69" s="453">
        <f t="shared" si="17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 ht="12.5">
      <c r="B70" s="160" t="str">
        <f t="shared" si="7"/>
        <v/>
      </c>
      <c r="C70" s="470">
        <f>IF(D11="","-",+C69+1)</f>
        <v>2070</v>
      </c>
      <c r="D70" s="481">
        <f>IF(F69+SUM(E$17:E69)=D$10,F69,D$10-SUM(E$17:E69))</f>
        <v>0</v>
      </c>
      <c r="E70" s="482">
        <f t="shared" si="14"/>
        <v>0</v>
      </c>
      <c r="F70" s="483">
        <f t="shared" si="15"/>
        <v>0</v>
      </c>
      <c r="G70" s="484">
        <f t="shared" si="16"/>
        <v>0</v>
      </c>
      <c r="H70" s="453">
        <f t="shared" si="17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 ht="12.5">
      <c r="B71" s="160" t="str">
        <f t="shared" si="7"/>
        <v/>
      </c>
      <c r="C71" s="470">
        <f>IF(D11="","-",+C70+1)</f>
        <v>2071</v>
      </c>
      <c r="D71" s="481">
        <f>IF(F70+SUM(E$17:E70)=D$10,F70,D$10-SUM(E$17:E70))</f>
        <v>0</v>
      </c>
      <c r="E71" s="482">
        <f t="shared" si="14"/>
        <v>0</v>
      </c>
      <c r="F71" s="483">
        <f t="shared" si="15"/>
        <v>0</v>
      </c>
      <c r="G71" s="484">
        <f t="shared" si="16"/>
        <v>0</v>
      </c>
      <c r="H71" s="453">
        <f t="shared" si="17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2072</v>
      </c>
      <c r="D72" s="609">
        <f>IF(F71+SUM(E$17:E71)=D$10,F71,D$10-SUM(E$17:E71))</f>
        <v>0</v>
      </c>
      <c r="E72" s="489">
        <f t="shared" si="14"/>
        <v>0</v>
      </c>
      <c r="F72" s="488">
        <f t="shared" si="15"/>
        <v>0</v>
      </c>
      <c r="G72" s="542">
        <f t="shared" si="16"/>
        <v>0</v>
      </c>
      <c r="H72" s="433">
        <f t="shared" si="17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 ht="12.5">
      <c r="C73" s="345" t="s">
        <v>77</v>
      </c>
      <c r="D73" s="346"/>
      <c r="E73" s="346">
        <f>SUM(E17:E72)</f>
        <v>330872.36000000004</v>
      </c>
      <c r="F73" s="346"/>
      <c r="G73" s="346">
        <f>SUM(G17:G72)</f>
        <v>1105150.0986754932</v>
      </c>
      <c r="H73" s="346">
        <f>SUM(H17:H72)</f>
        <v>1105150.0986754932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21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42854.492332323091</v>
      </c>
      <c r="N87" s="506">
        <f>IF(J92&lt;D11,0,VLOOKUP(J92,C17:O72,11))</f>
        <v>42854.492332323091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41022.9595881321</v>
      </c>
      <c r="N88" s="510">
        <f>IF(J92&lt;D11,0,VLOOKUP(J92,C99:P154,7))</f>
        <v>41022.9595881321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Darlington-Roman Nose 138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-1831.5327441909903</v>
      </c>
      <c r="N89" s="515">
        <f>+N88-N87</f>
        <v>-1831.5327441909903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TP2015027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330872.36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2017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8707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2017</v>
      </c>
      <c r="D99" s="582">
        <v>0</v>
      </c>
      <c r="E99" s="605">
        <v>3596</v>
      </c>
      <c r="F99" s="582">
        <v>327228</v>
      </c>
      <c r="G99" s="605">
        <v>163614</v>
      </c>
      <c r="H99" s="585">
        <v>24350.848452847567</v>
      </c>
      <c r="I99" s="604">
        <v>24350.848452847567</v>
      </c>
      <c r="J99" s="476">
        <f t="shared" ref="J99:J130" si="18">+I99-H99</f>
        <v>0</v>
      </c>
      <c r="K99" s="476"/>
      <c r="L99" s="475">
        <f>+H99</f>
        <v>24350.848452847567</v>
      </c>
      <c r="M99" s="475">
        <f t="shared" ref="M99:M130" si="19">IF(L99&lt;&gt;0,+H99-L99,0)</f>
        <v>0</v>
      </c>
      <c r="N99" s="475">
        <f>+I99</f>
        <v>24350.848452847567</v>
      </c>
      <c r="O99" s="475">
        <f t="shared" ref="O99:O130" si="20">IF(N99&lt;&gt;0,+I99-N99,0)</f>
        <v>0</v>
      </c>
      <c r="P99" s="475">
        <f t="shared" ref="P99:P130" si="21">+O99-M99</f>
        <v>0</v>
      </c>
    </row>
    <row r="100" spans="1:16" ht="12.5">
      <c r="B100" s="160" t="str">
        <f>IF(D100=F99,"","IU")</f>
        <v/>
      </c>
      <c r="C100" s="470">
        <f>IF(D93="","-",+C99+1)</f>
        <v>2018</v>
      </c>
      <c r="D100" s="582">
        <v>327228</v>
      </c>
      <c r="E100" s="583">
        <v>7694</v>
      </c>
      <c r="F100" s="584">
        <v>319534</v>
      </c>
      <c r="G100" s="584">
        <v>323381</v>
      </c>
      <c r="H100" s="603">
        <v>40916.73033605556</v>
      </c>
      <c r="I100" s="604">
        <v>40916.73033605556</v>
      </c>
      <c r="J100" s="476">
        <f t="shared" si="18"/>
        <v>0</v>
      </c>
      <c r="K100" s="476"/>
      <c r="L100" s="474">
        <f>H100</f>
        <v>40916.73033605556</v>
      </c>
      <c r="M100" s="347">
        <f>IF(L100&lt;&gt;0,+H100-L100,0)</f>
        <v>0</v>
      </c>
      <c r="N100" s="474">
        <f>I100</f>
        <v>40916.73033605556</v>
      </c>
      <c r="O100" s="473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22">IF(D101=F100,"","IU")</f>
        <v>IU</v>
      </c>
      <c r="C101" s="470">
        <f>IF(D93="","-",+C100+1)</f>
        <v>2019</v>
      </c>
      <c r="D101" s="582">
        <v>319582</v>
      </c>
      <c r="E101" s="583">
        <v>8070</v>
      </c>
      <c r="F101" s="584">
        <v>311512</v>
      </c>
      <c r="G101" s="584">
        <v>315547</v>
      </c>
      <c r="H101" s="603">
        <v>40607.321587664657</v>
      </c>
      <c r="I101" s="604">
        <v>40607.321587664657</v>
      </c>
      <c r="J101" s="476">
        <f t="shared" si="18"/>
        <v>0</v>
      </c>
      <c r="K101" s="476"/>
      <c r="L101" s="474">
        <f>H101</f>
        <v>40607.321587664657</v>
      </c>
      <c r="M101" s="347">
        <f>IF(L101&lt;&gt;0,+H101-L101,0)</f>
        <v>0</v>
      </c>
      <c r="N101" s="474">
        <f>I101</f>
        <v>40607.321587664657</v>
      </c>
      <c r="O101" s="476">
        <f t="shared" si="20"/>
        <v>0</v>
      </c>
      <c r="P101" s="476">
        <f t="shared" si="21"/>
        <v>0</v>
      </c>
    </row>
    <row r="102" spans="1:16" ht="12.5">
      <c r="B102" s="160" t="str">
        <f t="shared" si="22"/>
        <v/>
      </c>
      <c r="C102" s="470">
        <f>IF(D93="","-",+C101+1)</f>
        <v>2020</v>
      </c>
      <c r="D102" s="582">
        <v>311512</v>
      </c>
      <c r="E102" s="583">
        <v>7695</v>
      </c>
      <c r="F102" s="584">
        <v>303817</v>
      </c>
      <c r="G102" s="584">
        <v>307664.5</v>
      </c>
      <c r="H102" s="603">
        <v>43167.870996202138</v>
      </c>
      <c r="I102" s="604">
        <v>43167.870996202138</v>
      </c>
      <c r="J102" s="476">
        <f t="shared" si="18"/>
        <v>0</v>
      </c>
      <c r="K102" s="476"/>
      <c r="L102" s="474">
        <f>H102</f>
        <v>43167.870996202138</v>
      </c>
      <c r="M102" s="347">
        <f>IF(L102&lt;&gt;0,+H102-L102,0)</f>
        <v>0</v>
      </c>
      <c r="N102" s="474">
        <f>I102</f>
        <v>43167.870996202138</v>
      </c>
      <c r="O102" s="476">
        <f t="shared" si="20"/>
        <v>0</v>
      </c>
      <c r="P102" s="476">
        <f t="shared" si="21"/>
        <v>0</v>
      </c>
    </row>
    <row r="103" spans="1:16" ht="12.5">
      <c r="B103" s="160" t="str">
        <f t="shared" si="22"/>
        <v/>
      </c>
      <c r="C103" s="470">
        <f>IF(D93="","-",+C102+1)</f>
        <v>2021</v>
      </c>
      <c r="D103" s="582">
        <v>303817</v>
      </c>
      <c r="E103" s="583">
        <v>8070</v>
      </c>
      <c r="F103" s="584">
        <v>295747</v>
      </c>
      <c r="G103" s="584">
        <v>299782</v>
      </c>
      <c r="H103" s="603">
        <v>42183.031080558285</v>
      </c>
      <c r="I103" s="604">
        <v>42183.031080558285</v>
      </c>
      <c r="J103" s="476">
        <f t="shared" si="18"/>
        <v>0</v>
      </c>
      <c r="K103" s="476"/>
      <c r="L103" s="474">
        <f>H103</f>
        <v>42183.031080558285</v>
      </c>
      <c r="M103" s="347">
        <f>IF(L103&lt;&gt;0,+H103-L103,0)</f>
        <v>0</v>
      </c>
      <c r="N103" s="474">
        <f>I103</f>
        <v>42183.031080558285</v>
      </c>
      <c r="O103" s="476">
        <f t="shared" si="20"/>
        <v>0</v>
      </c>
      <c r="P103" s="476">
        <f t="shared" si="21"/>
        <v>0</v>
      </c>
    </row>
    <row r="104" spans="1:16" ht="12.5">
      <c r="B104" s="160" t="str">
        <f t="shared" si="22"/>
        <v/>
      </c>
      <c r="C104" s="470">
        <f>IF(D93="","-",+C103+1)</f>
        <v>2022</v>
      </c>
      <c r="D104" s="582">
        <v>295747</v>
      </c>
      <c r="E104" s="583">
        <v>8484</v>
      </c>
      <c r="F104" s="584">
        <v>287263</v>
      </c>
      <c r="G104" s="584">
        <v>291505</v>
      </c>
      <c r="H104" s="603">
        <v>40602.794226516286</v>
      </c>
      <c r="I104" s="604">
        <v>40602.794226516286</v>
      </c>
      <c r="J104" s="476">
        <f t="shared" si="18"/>
        <v>0</v>
      </c>
      <c r="K104" s="476"/>
      <c r="L104" s="474">
        <f>H104</f>
        <v>40602.794226516286</v>
      </c>
      <c r="M104" s="347">
        <f>IF(L104&lt;&gt;0,+H104-L104,0)</f>
        <v>0</v>
      </c>
      <c r="N104" s="474">
        <f>I104</f>
        <v>40602.794226516286</v>
      </c>
      <c r="O104" s="476">
        <f t="shared" ref="O104" si="23">IF(N104&lt;&gt;0,+I104-N104,0)</f>
        <v>0</v>
      </c>
      <c r="P104" s="476">
        <f t="shared" ref="P104" si="24">+O104-M104</f>
        <v>0</v>
      </c>
    </row>
    <row r="105" spans="1:16" ht="12.5">
      <c r="B105" s="160" t="str">
        <f t="shared" si="22"/>
        <v>IU</v>
      </c>
      <c r="C105" s="470">
        <f>IF(D93="","-",+C104+1)</f>
        <v>2023</v>
      </c>
      <c r="D105" s="345">
        <f>IF(F104+SUM(E$99:E104)=D$92,F104,D$92-SUM(E$99:E104))</f>
        <v>287263.35999999999</v>
      </c>
      <c r="E105" s="482">
        <f t="shared" ref="E105:E154" si="25">IF(+J$96&lt;F104,J$96,D105)</f>
        <v>8707</v>
      </c>
      <c r="F105" s="483">
        <f t="shared" ref="F105:F154" si="26">+D105-E105</f>
        <v>278556.36</v>
      </c>
      <c r="G105" s="483">
        <f t="shared" ref="G105:G154" si="27">+(F105+D105)/2</f>
        <v>282909.86</v>
      </c>
      <c r="H105" s="484">
        <f t="shared" ref="H105:H153" si="28">(D105+F105)/2*J$94+E105</f>
        <v>41022.9595881321</v>
      </c>
      <c r="I105" s="540">
        <f t="shared" ref="I105:I153" si="29">+J$95*G105+E105</f>
        <v>41022.9595881321</v>
      </c>
      <c r="J105" s="476">
        <f t="shared" si="18"/>
        <v>0</v>
      </c>
      <c r="K105" s="476"/>
      <c r="L105" s="485"/>
      <c r="M105" s="476">
        <f t="shared" si="19"/>
        <v>0</v>
      </c>
      <c r="N105" s="485"/>
      <c r="O105" s="476">
        <f t="shared" si="20"/>
        <v>0</v>
      </c>
      <c r="P105" s="476">
        <f t="shared" si="21"/>
        <v>0</v>
      </c>
    </row>
    <row r="106" spans="1:16" ht="12.5">
      <c r="B106" s="160" t="str">
        <f t="shared" si="22"/>
        <v/>
      </c>
      <c r="C106" s="470">
        <f>IF(D93="","-",+C105+1)</f>
        <v>2024</v>
      </c>
      <c r="D106" s="345">
        <f>IF(F105+SUM(E$99:E105)=D$92,F105,D$92-SUM(E$99:E105))</f>
        <v>278556.36</v>
      </c>
      <c r="E106" s="482">
        <f t="shared" si="25"/>
        <v>8707</v>
      </c>
      <c r="F106" s="483">
        <f t="shared" si="26"/>
        <v>269849.36</v>
      </c>
      <c r="G106" s="483">
        <f t="shared" si="27"/>
        <v>274202.86</v>
      </c>
      <c r="H106" s="484">
        <f t="shared" si="28"/>
        <v>40028.384637178227</v>
      </c>
      <c r="I106" s="540">
        <f t="shared" si="29"/>
        <v>40028.384637178227</v>
      </c>
      <c r="J106" s="476">
        <f t="shared" si="18"/>
        <v>0</v>
      </c>
      <c r="K106" s="476"/>
      <c r="L106" s="485"/>
      <c r="M106" s="476">
        <f t="shared" si="19"/>
        <v>0</v>
      </c>
      <c r="N106" s="485"/>
      <c r="O106" s="476">
        <f t="shared" si="20"/>
        <v>0</v>
      </c>
      <c r="P106" s="476">
        <f t="shared" si="21"/>
        <v>0</v>
      </c>
    </row>
    <row r="107" spans="1:16" ht="12.5">
      <c r="B107" s="160" t="str">
        <f t="shared" si="22"/>
        <v/>
      </c>
      <c r="C107" s="470">
        <f>IF(D93="","-",+C106+1)</f>
        <v>2025</v>
      </c>
      <c r="D107" s="345">
        <f>IF(F106+SUM(E$99:E106)=D$92,F106,D$92-SUM(E$99:E106))</f>
        <v>269849.36</v>
      </c>
      <c r="E107" s="482">
        <f t="shared" si="25"/>
        <v>8707</v>
      </c>
      <c r="F107" s="483">
        <f t="shared" si="26"/>
        <v>261142.36</v>
      </c>
      <c r="G107" s="483">
        <f t="shared" si="27"/>
        <v>265495.86</v>
      </c>
      <c r="H107" s="484">
        <f t="shared" si="28"/>
        <v>39033.809686224362</v>
      </c>
      <c r="I107" s="540">
        <f t="shared" si="29"/>
        <v>39033.809686224362</v>
      </c>
      <c r="J107" s="476">
        <f t="shared" si="18"/>
        <v>0</v>
      </c>
      <c r="K107" s="476"/>
      <c r="L107" s="485"/>
      <c r="M107" s="476">
        <f t="shared" si="19"/>
        <v>0</v>
      </c>
      <c r="N107" s="485"/>
      <c r="O107" s="476">
        <f t="shared" si="20"/>
        <v>0</v>
      </c>
      <c r="P107" s="476">
        <f t="shared" si="21"/>
        <v>0</v>
      </c>
    </row>
    <row r="108" spans="1:16" ht="12.5">
      <c r="B108" s="160" t="str">
        <f t="shared" si="22"/>
        <v/>
      </c>
      <c r="C108" s="470">
        <f>IF(D93="","-",+C107+1)</f>
        <v>2026</v>
      </c>
      <c r="D108" s="345">
        <f>IF(F107+SUM(E$99:E107)=D$92,F107,D$92-SUM(E$99:E107))</f>
        <v>261142.36</v>
      </c>
      <c r="E108" s="482">
        <f t="shared" si="25"/>
        <v>8707</v>
      </c>
      <c r="F108" s="483">
        <f t="shared" si="26"/>
        <v>252435.36</v>
      </c>
      <c r="G108" s="483">
        <f t="shared" si="27"/>
        <v>256788.86</v>
      </c>
      <c r="H108" s="484">
        <f t="shared" si="28"/>
        <v>38039.234735270496</v>
      </c>
      <c r="I108" s="540">
        <f t="shared" si="29"/>
        <v>38039.234735270496</v>
      </c>
      <c r="J108" s="476">
        <f t="shared" si="18"/>
        <v>0</v>
      </c>
      <c r="K108" s="476"/>
      <c r="L108" s="485"/>
      <c r="M108" s="476">
        <f t="shared" si="19"/>
        <v>0</v>
      </c>
      <c r="N108" s="485"/>
      <c r="O108" s="476">
        <f t="shared" si="20"/>
        <v>0</v>
      </c>
      <c r="P108" s="476">
        <f t="shared" si="21"/>
        <v>0</v>
      </c>
    </row>
    <row r="109" spans="1:16" ht="12.5">
      <c r="B109" s="160" t="str">
        <f t="shared" si="22"/>
        <v/>
      </c>
      <c r="C109" s="470">
        <f>IF(D93="","-",+C108+1)</f>
        <v>2027</v>
      </c>
      <c r="D109" s="345">
        <f>IF(F108+SUM(E$99:E108)=D$92,F108,D$92-SUM(E$99:E108))</f>
        <v>252435.36</v>
      </c>
      <c r="E109" s="482">
        <f t="shared" si="25"/>
        <v>8707</v>
      </c>
      <c r="F109" s="483">
        <f t="shared" si="26"/>
        <v>243728.36</v>
      </c>
      <c r="G109" s="483">
        <f t="shared" si="27"/>
        <v>248081.86</v>
      </c>
      <c r="H109" s="484">
        <f t="shared" si="28"/>
        <v>37044.659784316624</v>
      </c>
      <c r="I109" s="540">
        <f t="shared" si="29"/>
        <v>37044.659784316624</v>
      </c>
      <c r="J109" s="476">
        <f t="shared" si="18"/>
        <v>0</v>
      </c>
      <c r="K109" s="476"/>
      <c r="L109" s="485"/>
      <c r="M109" s="476">
        <f t="shared" si="19"/>
        <v>0</v>
      </c>
      <c r="N109" s="485"/>
      <c r="O109" s="476">
        <f t="shared" si="20"/>
        <v>0</v>
      </c>
      <c r="P109" s="476">
        <f t="shared" si="21"/>
        <v>0</v>
      </c>
    </row>
    <row r="110" spans="1:16" ht="12.5">
      <c r="B110" s="160" t="str">
        <f t="shared" si="22"/>
        <v/>
      </c>
      <c r="C110" s="470">
        <f>IF(D93="","-",+C109+1)</f>
        <v>2028</v>
      </c>
      <c r="D110" s="345">
        <f>IF(F109+SUM(E$99:E109)=D$92,F109,D$92-SUM(E$99:E109))</f>
        <v>243728.36</v>
      </c>
      <c r="E110" s="482">
        <f t="shared" si="25"/>
        <v>8707</v>
      </c>
      <c r="F110" s="483">
        <f t="shared" si="26"/>
        <v>235021.36</v>
      </c>
      <c r="G110" s="483">
        <f t="shared" si="27"/>
        <v>239374.86</v>
      </c>
      <c r="H110" s="484">
        <f t="shared" si="28"/>
        <v>36050.084833362751</v>
      </c>
      <c r="I110" s="540">
        <f t="shared" si="29"/>
        <v>36050.084833362751</v>
      </c>
      <c r="J110" s="476">
        <f t="shared" si="18"/>
        <v>0</v>
      </c>
      <c r="K110" s="476"/>
      <c r="L110" s="485"/>
      <c r="M110" s="476">
        <f t="shared" si="19"/>
        <v>0</v>
      </c>
      <c r="N110" s="485"/>
      <c r="O110" s="476">
        <f t="shared" si="20"/>
        <v>0</v>
      </c>
      <c r="P110" s="476">
        <f t="shared" si="21"/>
        <v>0</v>
      </c>
    </row>
    <row r="111" spans="1:16" ht="12.5">
      <c r="B111" s="160" t="str">
        <f t="shared" si="22"/>
        <v/>
      </c>
      <c r="C111" s="470">
        <f>IF(D93="","-",+C110+1)</f>
        <v>2029</v>
      </c>
      <c r="D111" s="345">
        <f>IF(F110+SUM(E$99:E110)=D$92,F110,D$92-SUM(E$99:E110))</f>
        <v>235021.36</v>
      </c>
      <c r="E111" s="482">
        <f t="shared" si="25"/>
        <v>8707</v>
      </c>
      <c r="F111" s="483">
        <f t="shared" si="26"/>
        <v>226314.36</v>
      </c>
      <c r="G111" s="483">
        <f t="shared" si="27"/>
        <v>230667.86</v>
      </c>
      <c r="H111" s="484">
        <f t="shared" si="28"/>
        <v>35055.509882408878</v>
      </c>
      <c r="I111" s="540">
        <f t="shared" si="29"/>
        <v>35055.509882408878</v>
      </c>
      <c r="J111" s="476">
        <f t="shared" si="18"/>
        <v>0</v>
      </c>
      <c r="K111" s="476"/>
      <c r="L111" s="485"/>
      <c r="M111" s="476">
        <f t="shared" si="19"/>
        <v>0</v>
      </c>
      <c r="N111" s="485"/>
      <c r="O111" s="476">
        <f t="shared" si="20"/>
        <v>0</v>
      </c>
      <c r="P111" s="476">
        <f t="shared" si="21"/>
        <v>0</v>
      </c>
    </row>
    <row r="112" spans="1:16" ht="12.5">
      <c r="B112" s="160" t="str">
        <f t="shared" si="22"/>
        <v/>
      </c>
      <c r="C112" s="470">
        <f>IF(D93="","-",+C111+1)</f>
        <v>2030</v>
      </c>
      <c r="D112" s="345">
        <f>IF(F111+SUM(E$99:E111)=D$92,F111,D$92-SUM(E$99:E111))</f>
        <v>226314.36</v>
      </c>
      <c r="E112" s="482">
        <f t="shared" si="25"/>
        <v>8707</v>
      </c>
      <c r="F112" s="483">
        <f t="shared" si="26"/>
        <v>217607.36</v>
      </c>
      <c r="G112" s="483">
        <f t="shared" si="27"/>
        <v>221960.86</v>
      </c>
      <c r="H112" s="484">
        <f t="shared" si="28"/>
        <v>34060.934931455013</v>
      </c>
      <c r="I112" s="540">
        <f t="shared" si="29"/>
        <v>34060.934931455013</v>
      </c>
      <c r="J112" s="476">
        <f t="shared" si="18"/>
        <v>0</v>
      </c>
      <c r="K112" s="476"/>
      <c r="L112" s="485"/>
      <c r="M112" s="476">
        <f t="shared" si="19"/>
        <v>0</v>
      </c>
      <c r="N112" s="485"/>
      <c r="O112" s="476">
        <f t="shared" si="20"/>
        <v>0</v>
      </c>
      <c r="P112" s="476">
        <f t="shared" si="21"/>
        <v>0</v>
      </c>
    </row>
    <row r="113" spans="2:16" ht="12.5">
      <c r="B113" s="160" t="str">
        <f t="shared" si="22"/>
        <v/>
      </c>
      <c r="C113" s="470">
        <f>IF(D93="","-",+C112+1)</f>
        <v>2031</v>
      </c>
      <c r="D113" s="345">
        <f>IF(F112+SUM(E$99:E112)=D$92,F112,D$92-SUM(E$99:E112))</f>
        <v>217607.36</v>
      </c>
      <c r="E113" s="482">
        <f t="shared" si="25"/>
        <v>8707</v>
      </c>
      <c r="F113" s="483">
        <f t="shared" si="26"/>
        <v>208900.36</v>
      </c>
      <c r="G113" s="483">
        <f t="shared" si="27"/>
        <v>213253.86</v>
      </c>
      <c r="H113" s="484">
        <f t="shared" si="28"/>
        <v>33066.35998050114</v>
      </c>
      <c r="I113" s="540">
        <f t="shared" si="29"/>
        <v>33066.35998050114</v>
      </c>
      <c r="J113" s="476">
        <f t="shared" si="18"/>
        <v>0</v>
      </c>
      <c r="K113" s="476"/>
      <c r="L113" s="485"/>
      <c r="M113" s="476">
        <f t="shared" si="19"/>
        <v>0</v>
      </c>
      <c r="N113" s="485"/>
      <c r="O113" s="476">
        <f t="shared" si="20"/>
        <v>0</v>
      </c>
      <c r="P113" s="476">
        <f t="shared" si="21"/>
        <v>0</v>
      </c>
    </row>
    <row r="114" spans="2:16" ht="12.5">
      <c r="B114" s="160" t="str">
        <f t="shared" si="22"/>
        <v/>
      </c>
      <c r="C114" s="470">
        <f>IF(D93="","-",+C113+1)</f>
        <v>2032</v>
      </c>
      <c r="D114" s="345">
        <f>IF(F113+SUM(E$99:E113)=D$92,F113,D$92-SUM(E$99:E113))</f>
        <v>208900.36</v>
      </c>
      <c r="E114" s="482">
        <f t="shared" si="25"/>
        <v>8707</v>
      </c>
      <c r="F114" s="483">
        <f t="shared" si="26"/>
        <v>200193.36</v>
      </c>
      <c r="G114" s="483">
        <f t="shared" si="27"/>
        <v>204546.86</v>
      </c>
      <c r="H114" s="484">
        <f t="shared" si="28"/>
        <v>32071.785029547271</v>
      </c>
      <c r="I114" s="540">
        <f t="shared" si="29"/>
        <v>32071.785029547271</v>
      </c>
      <c r="J114" s="476">
        <f t="shared" si="18"/>
        <v>0</v>
      </c>
      <c r="K114" s="476"/>
      <c r="L114" s="485"/>
      <c r="M114" s="476">
        <f t="shared" si="19"/>
        <v>0</v>
      </c>
      <c r="N114" s="485"/>
      <c r="O114" s="476">
        <f t="shared" si="20"/>
        <v>0</v>
      </c>
      <c r="P114" s="476">
        <f t="shared" si="21"/>
        <v>0</v>
      </c>
    </row>
    <row r="115" spans="2:16" ht="12.5">
      <c r="B115" s="160" t="str">
        <f t="shared" si="22"/>
        <v/>
      </c>
      <c r="C115" s="470">
        <f>IF(D93="","-",+C114+1)</f>
        <v>2033</v>
      </c>
      <c r="D115" s="345">
        <f>IF(F114+SUM(E$99:E114)=D$92,F114,D$92-SUM(E$99:E114))</f>
        <v>200193.36</v>
      </c>
      <c r="E115" s="482">
        <f t="shared" si="25"/>
        <v>8707</v>
      </c>
      <c r="F115" s="483">
        <f t="shared" si="26"/>
        <v>191486.36</v>
      </c>
      <c r="G115" s="483">
        <f t="shared" si="27"/>
        <v>195839.86</v>
      </c>
      <c r="H115" s="484">
        <f t="shared" si="28"/>
        <v>31077.210078593402</v>
      </c>
      <c r="I115" s="540">
        <f t="shared" si="29"/>
        <v>31077.210078593402</v>
      </c>
      <c r="J115" s="476">
        <f t="shared" si="18"/>
        <v>0</v>
      </c>
      <c r="K115" s="476"/>
      <c r="L115" s="485"/>
      <c r="M115" s="476">
        <f t="shared" si="19"/>
        <v>0</v>
      </c>
      <c r="N115" s="485"/>
      <c r="O115" s="476">
        <f t="shared" si="20"/>
        <v>0</v>
      </c>
      <c r="P115" s="476">
        <f t="shared" si="21"/>
        <v>0</v>
      </c>
    </row>
    <row r="116" spans="2:16" ht="12.5">
      <c r="B116" s="160" t="str">
        <f t="shared" si="22"/>
        <v/>
      </c>
      <c r="C116" s="470">
        <f>IF(D93="","-",+C115+1)</f>
        <v>2034</v>
      </c>
      <c r="D116" s="345">
        <f>IF(F115+SUM(E$99:E115)=D$92,F115,D$92-SUM(E$99:E115))</f>
        <v>191486.36</v>
      </c>
      <c r="E116" s="482">
        <f t="shared" si="25"/>
        <v>8707</v>
      </c>
      <c r="F116" s="483">
        <f t="shared" si="26"/>
        <v>182779.36</v>
      </c>
      <c r="G116" s="483">
        <f t="shared" si="27"/>
        <v>187132.86</v>
      </c>
      <c r="H116" s="484">
        <f t="shared" si="28"/>
        <v>30082.635127639533</v>
      </c>
      <c r="I116" s="540">
        <f t="shared" si="29"/>
        <v>30082.635127639533</v>
      </c>
      <c r="J116" s="476">
        <f t="shared" si="18"/>
        <v>0</v>
      </c>
      <c r="K116" s="476"/>
      <c r="L116" s="485"/>
      <c r="M116" s="476">
        <f t="shared" si="19"/>
        <v>0</v>
      </c>
      <c r="N116" s="485"/>
      <c r="O116" s="476">
        <f t="shared" si="20"/>
        <v>0</v>
      </c>
      <c r="P116" s="476">
        <f t="shared" si="21"/>
        <v>0</v>
      </c>
    </row>
    <row r="117" spans="2:16" ht="12.5">
      <c r="B117" s="160" t="str">
        <f t="shared" si="22"/>
        <v/>
      </c>
      <c r="C117" s="470">
        <f>IF(D93="","-",+C116+1)</f>
        <v>2035</v>
      </c>
      <c r="D117" s="345">
        <f>IF(F116+SUM(E$99:E116)=D$92,F116,D$92-SUM(E$99:E116))</f>
        <v>182779.36</v>
      </c>
      <c r="E117" s="482">
        <f t="shared" si="25"/>
        <v>8707</v>
      </c>
      <c r="F117" s="483">
        <f t="shared" si="26"/>
        <v>174072.36</v>
      </c>
      <c r="G117" s="483">
        <f t="shared" si="27"/>
        <v>178425.86</v>
      </c>
      <c r="H117" s="484">
        <f t="shared" si="28"/>
        <v>29088.060176685663</v>
      </c>
      <c r="I117" s="540">
        <f t="shared" si="29"/>
        <v>29088.060176685663</v>
      </c>
      <c r="J117" s="476">
        <f t="shared" si="18"/>
        <v>0</v>
      </c>
      <c r="K117" s="476"/>
      <c r="L117" s="485"/>
      <c r="M117" s="476">
        <f t="shared" si="19"/>
        <v>0</v>
      </c>
      <c r="N117" s="485"/>
      <c r="O117" s="476">
        <f t="shared" si="20"/>
        <v>0</v>
      </c>
      <c r="P117" s="476">
        <f t="shared" si="21"/>
        <v>0</v>
      </c>
    </row>
    <row r="118" spans="2:16" ht="12.5">
      <c r="B118" s="160" t="str">
        <f t="shared" si="22"/>
        <v/>
      </c>
      <c r="C118" s="470">
        <f>IF(D93="","-",+C117+1)</f>
        <v>2036</v>
      </c>
      <c r="D118" s="345">
        <f>IF(F117+SUM(E$99:E117)=D$92,F117,D$92-SUM(E$99:E117))</f>
        <v>174072.36</v>
      </c>
      <c r="E118" s="482">
        <f t="shared" si="25"/>
        <v>8707</v>
      </c>
      <c r="F118" s="483">
        <f t="shared" si="26"/>
        <v>165365.35999999999</v>
      </c>
      <c r="G118" s="483">
        <f t="shared" si="27"/>
        <v>169718.86</v>
      </c>
      <c r="H118" s="484">
        <f t="shared" si="28"/>
        <v>28093.485225731791</v>
      </c>
      <c r="I118" s="540">
        <f t="shared" si="29"/>
        <v>28093.485225731791</v>
      </c>
      <c r="J118" s="476">
        <f t="shared" si="18"/>
        <v>0</v>
      </c>
      <c r="K118" s="476"/>
      <c r="L118" s="485"/>
      <c r="M118" s="476">
        <f t="shared" si="19"/>
        <v>0</v>
      </c>
      <c r="N118" s="485"/>
      <c r="O118" s="476">
        <f t="shared" si="20"/>
        <v>0</v>
      </c>
      <c r="P118" s="476">
        <f t="shared" si="21"/>
        <v>0</v>
      </c>
    </row>
    <row r="119" spans="2:16" ht="12.5">
      <c r="B119" s="160" t="str">
        <f t="shared" si="22"/>
        <v/>
      </c>
      <c r="C119" s="470">
        <f>IF(D93="","-",+C118+1)</f>
        <v>2037</v>
      </c>
      <c r="D119" s="345">
        <f>IF(F118+SUM(E$99:E118)=D$92,F118,D$92-SUM(E$99:E118))</f>
        <v>165365.35999999999</v>
      </c>
      <c r="E119" s="482">
        <f t="shared" si="25"/>
        <v>8707</v>
      </c>
      <c r="F119" s="483">
        <f t="shared" si="26"/>
        <v>156658.35999999999</v>
      </c>
      <c r="G119" s="483">
        <f t="shared" si="27"/>
        <v>161011.85999999999</v>
      </c>
      <c r="H119" s="484">
        <f t="shared" si="28"/>
        <v>27098.910274777922</v>
      </c>
      <c r="I119" s="540">
        <f t="shared" si="29"/>
        <v>27098.910274777922</v>
      </c>
      <c r="J119" s="476">
        <f t="shared" si="18"/>
        <v>0</v>
      </c>
      <c r="K119" s="476"/>
      <c r="L119" s="485"/>
      <c r="M119" s="476">
        <f t="shared" si="19"/>
        <v>0</v>
      </c>
      <c r="N119" s="485"/>
      <c r="O119" s="476">
        <f t="shared" si="20"/>
        <v>0</v>
      </c>
      <c r="P119" s="476">
        <f t="shared" si="21"/>
        <v>0</v>
      </c>
    </row>
    <row r="120" spans="2:16" ht="12.5">
      <c r="B120" s="160" t="str">
        <f t="shared" si="22"/>
        <v/>
      </c>
      <c r="C120" s="470">
        <f>IF(D93="","-",+C119+1)</f>
        <v>2038</v>
      </c>
      <c r="D120" s="345">
        <f>IF(F119+SUM(E$99:E119)=D$92,F119,D$92-SUM(E$99:E119))</f>
        <v>156658.35999999999</v>
      </c>
      <c r="E120" s="482">
        <f t="shared" si="25"/>
        <v>8707</v>
      </c>
      <c r="F120" s="483">
        <f t="shared" si="26"/>
        <v>147951.35999999999</v>
      </c>
      <c r="G120" s="483">
        <f t="shared" si="27"/>
        <v>152304.85999999999</v>
      </c>
      <c r="H120" s="484">
        <f t="shared" si="28"/>
        <v>26104.335323824052</v>
      </c>
      <c r="I120" s="540">
        <f t="shared" si="29"/>
        <v>26104.335323824052</v>
      </c>
      <c r="J120" s="476">
        <f t="shared" si="18"/>
        <v>0</v>
      </c>
      <c r="K120" s="476"/>
      <c r="L120" s="485"/>
      <c r="M120" s="476">
        <f t="shared" si="19"/>
        <v>0</v>
      </c>
      <c r="N120" s="485"/>
      <c r="O120" s="476">
        <f t="shared" si="20"/>
        <v>0</v>
      </c>
      <c r="P120" s="476">
        <f t="shared" si="21"/>
        <v>0</v>
      </c>
    </row>
    <row r="121" spans="2:16" ht="12.5">
      <c r="B121" s="160" t="str">
        <f t="shared" si="22"/>
        <v/>
      </c>
      <c r="C121" s="470">
        <f>IF(D93="","-",+C120+1)</f>
        <v>2039</v>
      </c>
      <c r="D121" s="345">
        <f>IF(F120+SUM(E$99:E120)=D$92,F120,D$92-SUM(E$99:E120))</f>
        <v>147951.35999999999</v>
      </c>
      <c r="E121" s="482">
        <f t="shared" si="25"/>
        <v>8707</v>
      </c>
      <c r="F121" s="483">
        <f t="shared" si="26"/>
        <v>139244.35999999999</v>
      </c>
      <c r="G121" s="483">
        <f t="shared" si="27"/>
        <v>143597.85999999999</v>
      </c>
      <c r="H121" s="484">
        <f t="shared" si="28"/>
        <v>25109.760372870183</v>
      </c>
      <c r="I121" s="540">
        <f t="shared" si="29"/>
        <v>25109.760372870183</v>
      </c>
      <c r="J121" s="476">
        <f t="shared" si="18"/>
        <v>0</v>
      </c>
      <c r="K121" s="476"/>
      <c r="L121" s="485"/>
      <c r="M121" s="476">
        <f t="shared" si="19"/>
        <v>0</v>
      </c>
      <c r="N121" s="485"/>
      <c r="O121" s="476">
        <f t="shared" si="20"/>
        <v>0</v>
      </c>
      <c r="P121" s="476">
        <f t="shared" si="21"/>
        <v>0</v>
      </c>
    </row>
    <row r="122" spans="2:16" ht="12.5">
      <c r="B122" s="160" t="str">
        <f t="shared" si="22"/>
        <v/>
      </c>
      <c r="C122" s="470">
        <f>IF(D93="","-",+C121+1)</f>
        <v>2040</v>
      </c>
      <c r="D122" s="345">
        <f>IF(F121+SUM(E$99:E121)=D$92,F121,D$92-SUM(E$99:E121))</f>
        <v>139244.35999999999</v>
      </c>
      <c r="E122" s="482">
        <f t="shared" si="25"/>
        <v>8707</v>
      </c>
      <c r="F122" s="483">
        <f t="shared" si="26"/>
        <v>130537.35999999999</v>
      </c>
      <c r="G122" s="483">
        <f t="shared" si="27"/>
        <v>134890.85999999999</v>
      </c>
      <c r="H122" s="484">
        <f t="shared" si="28"/>
        <v>24115.185421916314</v>
      </c>
      <c r="I122" s="540">
        <f t="shared" si="29"/>
        <v>24115.185421916314</v>
      </c>
      <c r="J122" s="476">
        <f t="shared" si="18"/>
        <v>0</v>
      </c>
      <c r="K122" s="476"/>
      <c r="L122" s="485"/>
      <c r="M122" s="476">
        <f t="shared" si="19"/>
        <v>0</v>
      </c>
      <c r="N122" s="485"/>
      <c r="O122" s="476">
        <f t="shared" si="20"/>
        <v>0</v>
      </c>
      <c r="P122" s="476">
        <f t="shared" si="21"/>
        <v>0</v>
      </c>
    </row>
    <row r="123" spans="2:16" ht="12.5">
      <c r="B123" s="160" t="str">
        <f t="shared" si="22"/>
        <v/>
      </c>
      <c r="C123" s="470">
        <f>IF(D93="","-",+C122+1)</f>
        <v>2041</v>
      </c>
      <c r="D123" s="345">
        <f>IF(F122+SUM(E$99:E122)=D$92,F122,D$92-SUM(E$99:E122))</f>
        <v>130537.35999999999</v>
      </c>
      <c r="E123" s="482">
        <f t="shared" si="25"/>
        <v>8707</v>
      </c>
      <c r="F123" s="483">
        <f t="shared" si="26"/>
        <v>121830.35999999999</v>
      </c>
      <c r="G123" s="483">
        <f t="shared" si="27"/>
        <v>126183.85999999999</v>
      </c>
      <c r="H123" s="484">
        <f t="shared" si="28"/>
        <v>23120.610470962441</v>
      </c>
      <c r="I123" s="540">
        <f t="shared" si="29"/>
        <v>23120.610470962441</v>
      </c>
      <c r="J123" s="476">
        <f t="shared" si="18"/>
        <v>0</v>
      </c>
      <c r="K123" s="476"/>
      <c r="L123" s="485"/>
      <c r="M123" s="476">
        <f t="shared" si="19"/>
        <v>0</v>
      </c>
      <c r="N123" s="485"/>
      <c r="O123" s="476">
        <f t="shared" si="20"/>
        <v>0</v>
      </c>
      <c r="P123" s="476">
        <f t="shared" si="21"/>
        <v>0</v>
      </c>
    </row>
    <row r="124" spans="2:16" ht="12.5">
      <c r="B124" s="160" t="str">
        <f t="shared" si="22"/>
        <v/>
      </c>
      <c r="C124" s="470">
        <f>IF(D93="","-",+C123+1)</f>
        <v>2042</v>
      </c>
      <c r="D124" s="345">
        <f>IF(F123+SUM(E$99:E123)=D$92,F123,D$92-SUM(E$99:E123))</f>
        <v>121830.35999999999</v>
      </c>
      <c r="E124" s="482">
        <f t="shared" si="25"/>
        <v>8707</v>
      </c>
      <c r="F124" s="483">
        <f t="shared" si="26"/>
        <v>113123.35999999999</v>
      </c>
      <c r="G124" s="483">
        <f t="shared" si="27"/>
        <v>117476.85999999999</v>
      </c>
      <c r="H124" s="484">
        <f t="shared" si="28"/>
        <v>22126.035520008572</v>
      </c>
      <c r="I124" s="540">
        <f t="shared" si="29"/>
        <v>22126.035520008572</v>
      </c>
      <c r="J124" s="476">
        <f t="shared" si="18"/>
        <v>0</v>
      </c>
      <c r="K124" s="476"/>
      <c r="L124" s="485"/>
      <c r="M124" s="476">
        <f t="shared" si="19"/>
        <v>0</v>
      </c>
      <c r="N124" s="485"/>
      <c r="O124" s="476">
        <f t="shared" si="20"/>
        <v>0</v>
      </c>
      <c r="P124" s="476">
        <f t="shared" si="21"/>
        <v>0</v>
      </c>
    </row>
    <row r="125" spans="2:16" ht="12.5">
      <c r="B125" s="160" t="str">
        <f t="shared" si="22"/>
        <v/>
      </c>
      <c r="C125" s="470">
        <f>IF(D93="","-",+C124+1)</f>
        <v>2043</v>
      </c>
      <c r="D125" s="345">
        <f>IF(F124+SUM(E$99:E124)=D$92,F124,D$92-SUM(E$99:E124))</f>
        <v>113123.35999999999</v>
      </c>
      <c r="E125" s="482">
        <f t="shared" si="25"/>
        <v>8707</v>
      </c>
      <c r="F125" s="483">
        <f t="shared" si="26"/>
        <v>104416.35999999999</v>
      </c>
      <c r="G125" s="483">
        <f t="shared" si="27"/>
        <v>108769.85999999999</v>
      </c>
      <c r="H125" s="484">
        <f t="shared" si="28"/>
        <v>21131.460569054703</v>
      </c>
      <c r="I125" s="540">
        <f t="shared" si="29"/>
        <v>21131.460569054703</v>
      </c>
      <c r="J125" s="476">
        <f t="shared" si="18"/>
        <v>0</v>
      </c>
      <c r="K125" s="476"/>
      <c r="L125" s="485"/>
      <c r="M125" s="476">
        <f t="shared" si="19"/>
        <v>0</v>
      </c>
      <c r="N125" s="485"/>
      <c r="O125" s="476">
        <f t="shared" si="20"/>
        <v>0</v>
      </c>
      <c r="P125" s="476">
        <f t="shared" si="21"/>
        <v>0</v>
      </c>
    </row>
    <row r="126" spans="2:16" ht="12.5">
      <c r="B126" s="160" t="str">
        <f t="shared" si="22"/>
        <v/>
      </c>
      <c r="C126" s="470">
        <f>IF(D93="","-",+C125+1)</f>
        <v>2044</v>
      </c>
      <c r="D126" s="345">
        <f>IF(F125+SUM(E$99:E125)=D$92,F125,D$92-SUM(E$99:E125))</f>
        <v>104416.35999999999</v>
      </c>
      <c r="E126" s="482">
        <f t="shared" si="25"/>
        <v>8707</v>
      </c>
      <c r="F126" s="483">
        <f t="shared" si="26"/>
        <v>95709.359999999986</v>
      </c>
      <c r="G126" s="483">
        <f t="shared" si="27"/>
        <v>100062.85999999999</v>
      </c>
      <c r="H126" s="484">
        <f t="shared" si="28"/>
        <v>20136.88561810083</v>
      </c>
      <c r="I126" s="540">
        <f t="shared" si="29"/>
        <v>20136.88561810083</v>
      </c>
      <c r="J126" s="476">
        <f t="shared" si="18"/>
        <v>0</v>
      </c>
      <c r="K126" s="476"/>
      <c r="L126" s="485"/>
      <c r="M126" s="476">
        <f t="shared" si="19"/>
        <v>0</v>
      </c>
      <c r="N126" s="485"/>
      <c r="O126" s="476">
        <f t="shared" si="20"/>
        <v>0</v>
      </c>
      <c r="P126" s="476">
        <f t="shared" si="21"/>
        <v>0</v>
      </c>
    </row>
    <row r="127" spans="2:16" ht="12.5">
      <c r="B127" s="160" t="str">
        <f t="shared" si="22"/>
        <v/>
      </c>
      <c r="C127" s="470">
        <f>IF(D93="","-",+C126+1)</f>
        <v>2045</v>
      </c>
      <c r="D127" s="345">
        <f>IF(F126+SUM(E$99:E126)=D$92,F126,D$92-SUM(E$99:E126))</f>
        <v>95709.359999999986</v>
      </c>
      <c r="E127" s="482">
        <f t="shared" si="25"/>
        <v>8707</v>
      </c>
      <c r="F127" s="483">
        <f t="shared" si="26"/>
        <v>87002.359999999986</v>
      </c>
      <c r="G127" s="483">
        <f t="shared" si="27"/>
        <v>91355.859999999986</v>
      </c>
      <c r="H127" s="484">
        <f t="shared" si="28"/>
        <v>19142.310667146961</v>
      </c>
      <c r="I127" s="540">
        <f t="shared" si="29"/>
        <v>19142.310667146961</v>
      </c>
      <c r="J127" s="476">
        <f t="shared" si="18"/>
        <v>0</v>
      </c>
      <c r="K127" s="476"/>
      <c r="L127" s="485"/>
      <c r="M127" s="476">
        <f t="shared" si="19"/>
        <v>0</v>
      </c>
      <c r="N127" s="485"/>
      <c r="O127" s="476">
        <f t="shared" si="20"/>
        <v>0</v>
      </c>
      <c r="P127" s="476">
        <f t="shared" si="21"/>
        <v>0</v>
      </c>
    </row>
    <row r="128" spans="2:16" ht="12.5">
      <c r="B128" s="160" t="str">
        <f t="shared" si="22"/>
        <v/>
      </c>
      <c r="C128" s="470">
        <f>IF(D93="","-",+C127+1)</f>
        <v>2046</v>
      </c>
      <c r="D128" s="345">
        <f>IF(F127+SUM(E$99:E127)=D$92,F127,D$92-SUM(E$99:E127))</f>
        <v>87002.359999999986</v>
      </c>
      <c r="E128" s="482">
        <f t="shared" si="25"/>
        <v>8707</v>
      </c>
      <c r="F128" s="483">
        <f t="shared" si="26"/>
        <v>78295.359999999986</v>
      </c>
      <c r="G128" s="483">
        <f t="shared" si="27"/>
        <v>82648.859999999986</v>
      </c>
      <c r="H128" s="484">
        <f t="shared" si="28"/>
        <v>18147.735716193092</v>
      </c>
      <c r="I128" s="540">
        <f t="shared" si="29"/>
        <v>18147.735716193092</v>
      </c>
      <c r="J128" s="476">
        <f t="shared" si="18"/>
        <v>0</v>
      </c>
      <c r="K128" s="476"/>
      <c r="L128" s="485"/>
      <c r="M128" s="476">
        <f t="shared" si="19"/>
        <v>0</v>
      </c>
      <c r="N128" s="485"/>
      <c r="O128" s="476">
        <f t="shared" si="20"/>
        <v>0</v>
      </c>
      <c r="P128" s="476">
        <f t="shared" si="21"/>
        <v>0</v>
      </c>
    </row>
    <row r="129" spans="2:16" ht="12.5">
      <c r="B129" s="160" t="str">
        <f t="shared" si="22"/>
        <v/>
      </c>
      <c r="C129" s="470">
        <f>IF(D93="","-",+C128+1)</f>
        <v>2047</v>
      </c>
      <c r="D129" s="345">
        <f>IF(F128+SUM(E$99:E128)=D$92,F128,D$92-SUM(E$99:E128))</f>
        <v>78295.359999999986</v>
      </c>
      <c r="E129" s="482">
        <f t="shared" si="25"/>
        <v>8707</v>
      </c>
      <c r="F129" s="483">
        <f t="shared" si="26"/>
        <v>69588.359999999986</v>
      </c>
      <c r="G129" s="483">
        <f t="shared" si="27"/>
        <v>73941.859999999986</v>
      </c>
      <c r="H129" s="484">
        <f t="shared" si="28"/>
        <v>17153.160765239219</v>
      </c>
      <c r="I129" s="540">
        <f t="shared" si="29"/>
        <v>17153.160765239219</v>
      </c>
      <c r="J129" s="476">
        <f t="shared" si="18"/>
        <v>0</v>
      </c>
      <c r="K129" s="476"/>
      <c r="L129" s="485"/>
      <c r="M129" s="476">
        <f t="shared" si="19"/>
        <v>0</v>
      </c>
      <c r="N129" s="485"/>
      <c r="O129" s="476">
        <f t="shared" si="20"/>
        <v>0</v>
      </c>
      <c r="P129" s="476">
        <f t="shared" si="21"/>
        <v>0</v>
      </c>
    </row>
    <row r="130" spans="2:16" ht="12.5">
      <c r="B130" s="160" t="str">
        <f t="shared" si="22"/>
        <v/>
      </c>
      <c r="C130" s="470">
        <f>IF(D93="","-",+C129+1)</f>
        <v>2048</v>
      </c>
      <c r="D130" s="345">
        <f>IF(F129+SUM(E$99:E129)=D$92,F129,D$92-SUM(E$99:E129))</f>
        <v>69588.359999999986</v>
      </c>
      <c r="E130" s="482">
        <f t="shared" si="25"/>
        <v>8707</v>
      </c>
      <c r="F130" s="483">
        <f t="shared" si="26"/>
        <v>60881.359999999986</v>
      </c>
      <c r="G130" s="483">
        <f t="shared" si="27"/>
        <v>65234.859999999986</v>
      </c>
      <c r="H130" s="484">
        <f t="shared" si="28"/>
        <v>16158.585814285352</v>
      </c>
      <c r="I130" s="540">
        <f t="shared" si="29"/>
        <v>16158.585814285352</v>
      </c>
      <c r="J130" s="476">
        <f t="shared" si="18"/>
        <v>0</v>
      </c>
      <c r="K130" s="476"/>
      <c r="L130" s="485"/>
      <c r="M130" s="476">
        <f t="shared" si="19"/>
        <v>0</v>
      </c>
      <c r="N130" s="485"/>
      <c r="O130" s="476">
        <f t="shared" si="20"/>
        <v>0</v>
      </c>
      <c r="P130" s="476">
        <f t="shared" si="21"/>
        <v>0</v>
      </c>
    </row>
    <row r="131" spans="2:16" ht="12.5">
      <c r="B131" s="160" t="str">
        <f t="shared" si="22"/>
        <v/>
      </c>
      <c r="C131" s="470">
        <f>IF(D93="","-",+C130+1)</f>
        <v>2049</v>
      </c>
      <c r="D131" s="345">
        <f>IF(F130+SUM(E$99:E130)=D$92,F130,D$92-SUM(E$99:E130))</f>
        <v>60881.359999999986</v>
      </c>
      <c r="E131" s="482">
        <f t="shared" si="25"/>
        <v>8707</v>
      </c>
      <c r="F131" s="483">
        <f t="shared" si="26"/>
        <v>52174.359999999986</v>
      </c>
      <c r="G131" s="483">
        <f t="shared" si="27"/>
        <v>56527.859999999986</v>
      </c>
      <c r="H131" s="484">
        <f t="shared" si="28"/>
        <v>15164.010863331481</v>
      </c>
      <c r="I131" s="540">
        <f t="shared" si="29"/>
        <v>15164.010863331481</v>
      </c>
      <c r="J131" s="476">
        <f t="shared" ref="J131:J154" si="30">+I541-H541</f>
        <v>0</v>
      </c>
      <c r="K131" s="476"/>
      <c r="L131" s="485"/>
      <c r="M131" s="476">
        <f t="shared" ref="M131:M154" si="31">IF(L541&lt;&gt;0,+H541-L541,0)</f>
        <v>0</v>
      </c>
      <c r="N131" s="485"/>
      <c r="O131" s="476">
        <f t="shared" ref="O131:O154" si="32">IF(N541&lt;&gt;0,+I541-N541,0)</f>
        <v>0</v>
      </c>
      <c r="P131" s="476">
        <f t="shared" ref="P131:P154" si="33">+O541-M541</f>
        <v>0</v>
      </c>
    </row>
    <row r="132" spans="2:16" ht="12.5">
      <c r="B132" s="160" t="str">
        <f t="shared" si="22"/>
        <v/>
      </c>
      <c r="C132" s="470">
        <f>IF(D93="","-",+C131+1)</f>
        <v>2050</v>
      </c>
      <c r="D132" s="345">
        <f>IF(F131+SUM(E$99:E131)=D$92,F131,D$92-SUM(E$99:E131))</f>
        <v>52174.359999999986</v>
      </c>
      <c r="E132" s="482">
        <f t="shared" si="25"/>
        <v>8707</v>
      </c>
      <c r="F132" s="483">
        <f t="shared" si="26"/>
        <v>43467.359999999986</v>
      </c>
      <c r="G132" s="483">
        <f t="shared" si="27"/>
        <v>47820.859999999986</v>
      </c>
      <c r="H132" s="484">
        <f t="shared" si="28"/>
        <v>14169.435912377612</v>
      </c>
      <c r="I132" s="540">
        <f t="shared" si="29"/>
        <v>14169.435912377612</v>
      </c>
      <c r="J132" s="476">
        <f t="shared" si="30"/>
        <v>0</v>
      </c>
      <c r="K132" s="476"/>
      <c r="L132" s="485"/>
      <c r="M132" s="476">
        <f t="shared" si="31"/>
        <v>0</v>
      </c>
      <c r="N132" s="485"/>
      <c r="O132" s="476">
        <f t="shared" si="32"/>
        <v>0</v>
      </c>
      <c r="P132" s="476">
        <f t="shared" si="33"/>
        <v>0</v>
      </c>
    </row>
    <row r="133" spans="2:16" ht="12.5">
      <c r="B133" s="160" t="str">
        <f t="shared" si="22"/>
        <v/>
      </c>
      <c r="C133" s="470">
        <f>IF(D93="","-",+C132+1)</f>
        <v>2051</v>
      </c>
      <c r="D133" s="345">
        <f>IF(F132+SUM(E$99:E132)=D$92,F132,D$92-SUM(E$99:E132))</f>
        <v>43467.359999999986</v>
      </c>
      <c r="E133" s="482">
        <f t="shared" si="25"/>
        <v>8707</v>
      </c>
      <c r="F133" s="483">
        <f t="shared" si="26"/>
        <v>34760.359999999986</v>
      </c>
      <c r="G133" s="483">
        <f t="shared" si="27"/>
        <v>39113.859999999986</v>
      </c>
      <c r="H133" s="484">
        <f t="shared" si="28"/>
        <v>13174.860961423743</v>
      </c>
      <c r="I133" s="540">
        <f t="shared" si="29"/>
        <v>13174.860961423743</v>
      </c>
      <c r="J133" s="476">
        <f t="shared" si="30"/>
        <v>0</v>
      </c>
      <c r="K133" s="476"/>
      <c r="L133" s="485"/>
      <c r="M133" s="476">
        <f t="shared" si="31"/>
        <v>0</v>
      </c>
      <c r="N133" s="485"/>
      <c r="O133" s="476">
        <f t="shared" si="32"/>
        <v>0</v>
      </c>
      <c r="P133" s="476">
        <f t="shared" si="33"/>
        <v>0</v>
      </c>
    </row>
    <row r="134" spans="2:16" ht="12.5">
      <c r="B134" s="160" t="str">
        <f t="shared" si="22"/>
        <v/>
      </c>
      <c r="C134" s="470">
        <f>IF(D93="","-",+C133+1)</f>
        <v>2052</v>
      </c>
      <c r="D134" s="345">
        <f>IF(F133+SUM(E$99:E133)=D$92,F133,D$92-SUM(E$99:E133))</f>
        <v>34760.359999999986</v>
      </c>
      <c r="E134" s="482">
        <f t="shared" si="25"/>
        <v>8707</v>
      </c>
      <c r="F134" s="483">
        <f t="shared" si="26"/>
        <v>26053.359999999986</v>
      </c>
      <c r="G134" s="483">
        <f t="shared" si="27"/>
        <v>30406.859999999986</v>
      </c>
      <c r="H134" s="484">
        <f t="shared" si="28"/>
        <v>12180.286010469872</v>
      </c>
      <c r="I134" s="540">
        <f t="shared" si="29"/>
        <v>12180.286010469872</v>
      </c>
      <c r="J134" s="476">
        <f t="shared" si="30"/>
        <v>0</v>
      </c>
      <c r="K134" s="476"/>
      <c r="L134" s="485"/>
      <c r="M134" s="476">
        <f t="shared" si="31"/>
        <v>0</v>
      </c>
      <c r="N134" s="485"/>
      <c r="O134" s="476">
        <f t="shared" si="32"/>
        <v>0</v>
      </c>
      <c r="P134" s="476">
        <f t="shared" si="33"/>
        <v>0</v>
      </c>
    </row>
    <row r="135" spans="2:16" ht="12.5">
      <c r="B135" s="160" t="str">
        <f t="shared" si="22"/>
        <v/>
      </c>
      <c r="C135" s="470">
        <f>IF(D93="","-",+C134+1)</f>
        <v>2053</v>
      </c>
      <c r="D135" s="345">
        <f>IF(F134+SUM(E$99:E134)=D$92,F134,D$92-SUM(E$99:E134))</f>
        <v>26053.359999999986</v>
      </c>
      <c r="E135" s="482">
        <f t="shared" si="25"/>
        <v>8707</v>
      </c>
      <c r="F135" s="483">
        <f t="shared" si="26"/>
        <v>17346.359999999986</v>
      </c>
      <c r="G135" s="483">
        <f t="shared" si="27"/>
        <v>21699.859999999986</v>
      </c>
      <c r="H135" s="484">
        <f t="shared" si="28"/>
        <v>11185.711059516001</v>
      </c>
      <c r="I135" s="540">
        <f t="shared" si="29"/>
        <v>11185.711059516001</v>
      </c>
      <c r="J135" s="476">
        <f t="shared" si="30"/>
        <v>0</v>
      </c>
      <c r="K135" s="476"/>
      <c r="L135" s="485"/>
      <c r="M135" s="476">
        <f t="shared" si="31"/>
        <v>0</v>
      </c>
      <c r="N135" s="485"/>
      <c r="O135" s="476">
        <f t="shared" si="32"/>
        <v>0</v>
      </c>
      <c r="P135" s="476">
        <f t="shared" si="33"/>
        <v>0</v>
      </c>
    </row>
    <row r="136" spans="2:16" ht="12.5">
      <c r="B136" s="160" t="str">
        <f t="shared" si="22"/>
        <v/>
      </c>
      <c r="C136" s="470">
        <f>IF(D93="","-",+C135+1)</f>
        <v>2054</v>
      </c>
      <c r="D136" s="345">
        <f>IF(F135+SUM(E$99:E135)=D$92,F135,D$92-SUM(E$99:E135))</f>
        <v>17346.359999999986</v>
      </c>
      <c r="E136" s="482">
        <f t="shared" si="25"/>
        <v>8707</v>
      </c>
      <c r="F136" s="483">
        <f t="shared" si="26"/>
        <v>8639.359999999986</v>
      </c>
      <c r="G136" s="483">
        <f t="shared" si="27"/>
        <v>12992.859999999986</v>
      </c>
      <c r="H136" s="484">
        <f t="shared" si="28"/>
        <v>10191.136108562132</v>
      </c>
      <c r="I136" s="540">
        <f t="shared" si="29"/>
        <v>10191.136108562132</v>
      </c>
      <c r="J136" s="476">
        <f t="shared" si="30"/>
        <v>0</v>
      </c>
      <c r="K136" s="476"/>
      <c r="L136" s="485"/>
      <c r="M136" s="476">
        <f t="shared" si="31"/>
        <v>0</v>
      </c>
      <c r="N136" s="485"/>
      <c r="O136" s="476">
        <f t="shared" si="32"/>
        <v>0</v>
      </c>
      <c r="P136" s="476">
        <f t="shared" si="33"/>
        <v>0</v>
      </c>
    </row>
    <row r="137" spans="2:16" ht="12.5">
      <c r="B137" s="160" t="str">
        <f t="shared" si="22"/>
        <v/>
      </c>
      <c r="C137" s="470">
        <f>IF(D93="","-",+C136+1)</f>
        <v>2055</v>
      </c>
      <c r="D137" s="345">
        <f>IF(F136+SUM(E$99:E136)=D$92,F136,D$92-SUM(E$99:E136))</f>
        <v>8639.359999999986</v>
      </c>
      <c r="E137" s="482">
        <f t="shared" si="25"/>
        <v>8639.359999999986</v>
      </c>
      <c r="F137" s="483">
        <f t="shared" si="26"/>
        <v>0</v>
      </c>
      <c r="G137" s="483">
        <f t="shared" si="27"/>
        <v>4319.679999999993</v>
      </c>
      <c r="H137" s="484">
        <f t="shared" si="28"/>
        <v>9132.7843165425838</v>
      </c>
      <c r="I137" s="540">
        <f t="shared" si="29"/>
        <v>9132.7843165425838</v>
      </c>
      <c r="J137" s="476">
        <f t="shared" si="30"/>
        <v>0</v>
      </c>
      <c r="K137" s="476"/>
      <c r="L137" s="485"/>
      <c r="M137" s="476">
        <f t="shared" si="31"/>
        <v>0</v>
      </c>
      <c r="N137" s="485"/>
      <c r="O137" s="476">
        <f t="shared" si="32"/>
        <v>0</v>
      </c>
      <c r="P137" s="476">
        <f t="shared" si="33"/>
        <v>0</v>
      </c>
    </row>
    <row r="138" spans="2:16" ht="12.5">
      <c r="B138" s="160" t="str">
        <f t="shared" si="22"/>
        <v/>
      </c>
      <c r="C138" s="470">
        <f>IF(D93="","-",+C137+1)</f>
        <v>2056</v>
      </c>
      <c r="D138" s="345">
        <f>IF(F137+SUM(E$99:E137)=D$92,F137,D$92-SUM(E$99:E137))</f>
        <v>0</v>
      </c>
      <c r="E138" s="482">
        <f t="shared" si="25"/>
        <v>0</v>
      </c>
      <c r="F138" s="483">
        <f t="shared" si="26"/>
        <v>0</v>
      </c>
      <c r="G138" s="483">
        <f t="shared" si="27"/>
        <v>0</v>
      </c>
      <c r="H138" s="484">
        <f t="shared" si="28"/>
        <v>0</v>
      </c>
      <c r="I138" s="540">
        <f t="shared" si="29"/>
        <v>0</v>
      </c>
      <c r="J138" s="476">
        <f t="shared" si="30"/>
        <v>0</v>
      </c>
      <c r="K138" s="476"/>
      <c r="L138" s="485"/>
      <c r="M138" s="476">
        <f t="shared" si="31"/>
        <v>0</v>
      </c>
      <c r="N138" s="485"/>
      <c r="O138" s="476">
        <f t="shared" si="32"/>
        <v>0</v>
      </c>
      <c r="P138" s="476">
        <f t="shared" si="33"/>
        <v>0</v>
      </c>
    </row>
    <row r="139" spans="2:16" ht="12.5">
      <c r="B139" s="160" t="str">
        <f t="shared" si="22"/>
        <v/>
      </c>
      <c r="C139" s="470">
        <f>IF(D93="","-",+C138+1)</f>
        <v>2057</v>
      </c>
      <c r="D139" s="345">
        <f>IF(F138+SUM(E$99:E138)=D$92,F138,D$92-SUM(E$99:E138))</f>
        <v>0</v>
      </c>
      <c r="E139" s="482">
        <f t="shared" si="25"/>
        <v>0</v>
      </c>
      <c r="F139" s="483">
        <f t="shared" si="26"/>
        <v>0</v>
      </c>
      <c r="G139" s="483">
        <f t="shared" si="27"/>
        <v>0</v>
      </c>
      <c r="H139" s="484">
        <f t="shared" si="28"/>
        <v>0</v>
      </c>
      <c r="I139" s="540">
        <f t="shared" si="29"/>
        <v>0</v>
      </c>
      <c r="J139" s="476">
        <f t="shared" si="30"/>
        <v>0</v>
      </c>
      <c r="K139" s="476"/>
      <c r="L139" s="485"/>
      <c r="M139" s="476">
        <f t="shared" si="31"/>
        <v>0</v>
      </c>
      <c r="N139" s="485"/>
      <c r="O139" s="476">
        <f t="shared" si="32"/>
        <v>0</v>
      </c>
      <c r="P139" s="476">
        <f t="shared" si="33"/>
        <v>0</v>
      </c>
    </row>
    <row r="140" spans="2:16" ht="12.5">
      <c r="B140" s="160" t="str">
        <f t="shared" si="22"/>
        <v/>
      </c>
      <c r="C140" s="470">
        <f>IF(D93="","-",+C139+1)</f>
        <v>2058</v>
      </c>
      <c r="D140" s="345">
        <f>IF(F139+SUM(E$99:E139)=D$92,F139,D$92-SUM(E$99:E139))</f>
        <v>0</v>
      </c>
      <c r="E140" s="482">
        <f t="shared" si="25"/>
        <v>0</v>
      </c>
      <c r="F140" s="483">
        <f t="shared" si="26"/>
        <v>0</v>
      </c>
      <c r="G140" s="483">
        <f t="shared" si="27"/>
        <v>0</v>
      </c>
      <c r="H140" s="484">
        <f t="shared" si="28"/>
        <v>0</v>
      </c>
      <c r="I140" s="540">
        <f t="shared" si="29"/>
        <v>0</v>
      </c>
      <c r="J140" s="476">
        <f t="shared" si="30"/>
        <v>0</v>
      </c>
      <c r="K140" s="476"/>
      <c r="L140" s="485"/>
      <c r="M140" s="476">
        <f t="shared" si="31"/>
        <v>0</v>
      </c>
      <c r="N140" s="485"/>
      <c r="O140" s="476">
        <f t="shared" si="32"/>
        <v>0</v>
      </c>
      <c r="P140" s="476">
        <f t="shared" si="33"/>
        <v>0</v>
      </c>
    </row>
    <row r="141" spans="2:16" ht="12.5">
      <c r="B141" s="160" t="str">
        <f t="shared" si="22"/>
        <v/>
      </c>
      <c r="C141" s="470">
        <f>IF(D93="","-",+C140+1)</f>
        <v>2059</v>
      </c>
      <c r="D141" s="345">
        <f>IF(F140+SUM(E$99:E140)=D$92,F140,D$92-SUM(E$99:E140))</f>
        <v>0</v>
      </c>
      <c r="E141" s="482">
        <f t="shared" si="25"/>
        <v>0</v>
      </c>
      <c r="F141" s="483">
        <f t="shared" si="26"/>
        <v>0</v>
      </c>
      <c r="G141" s="483">
        <f t="shared" si="27"/>
        <v>0</v>
      </c>
      <c r="H141" s="484">
        <f t="shared" si="28"/>
        <v>0</v>
      </c>
      <c r="I141" s="540">
        <f t="shared" si="29"/>
        <v>0</v>
      </c>
      <c r="J141" s="476">
        <f t="shared" si="30"/>
        <v>0</v>
      </c>
      <c r="K141" s="476"/>
      <c r="L141" s="485"/>
      <c r="M141" s="476">
        <f t="shared" si="31"/>
        <v>0</v>
      </c>
      <c r="N141" s="485"/>
      <c r="O141" s="476">
        <f t="shared" si="32"/>
        <v>0</v>
      </c>
      <c r="P141" s="476">
        <f t="shared" si="33"/>
        <v>0</v>
      </c>
    </row>
    <row r="142" spans="2:16" ht="12.5">
      <c r="B142" s="160" t="str">
        <f t="shared" si="22"/>
        <v/>
      </c>
      <c r="C142" s="470">
        <f>IF(D93="","-",+C141+1)</f>
        <v>2060</v>
      </c>
      <c r="D142" s="345">
        <f>IF(F141+SUM(E$99:E141)=D$92,F141,D$92-SUM(E$99:E141))</f>
        <v>0</v>
      </c>
      <c r="E142" s="482">
        <f t="shared" si="25"/>
        <v>0</v>
      </c>
      <c r="F142" s="483">
        <f t="shared" si="26"/>
        <v>0</v>
      </c>
      <c r="G142" s="483">
        <f t="shared" si="27"/>
        <v>0</v>
      </c>
      <c r="H142" s="484">
        <f t="shared" si="28"/>
        <v>0</v>
      </c>
      <c r="I142" s="540">
        <f t="shared" si="29"/>
        <v>0</v>
      </c>
      <c r="J142" s="476">
        <f t="shared" si="30"/>
        <v>0</v>
      </c>
      <c r="K142" s="476"/>
      <c r="L142" s="485"/>
      <c r="M142" s="476">
        <f t="shared" si="31"/>
        <v>0</v>
      </c>
      <c r="N142" s="485"/>
      <c r="O142" s="476">
        <f t="shared" si="32"/>
        <v>0</v>
      </c>
      <c r="P142" s="476">
        <f t="shared" si="33"/>
        <v>0</v>
      </c>
    </row>
    <row r="143" spans="2:16" ht="12.5">
      <c r="B143" s="160" t="str">
        <f t="shared" si="22"/>
        <v/>
      </c>
      <c r="C143" s="470">
        <f>IF(D93="","-",+C142+1)</f>
        <v>2061</v>
      </c>
      <c r="D143" s="345">
        <f>IF(F142+SUM(E$99:E142)=D$92,F142,D$92-SUM(E$99:E142))</f>
        <v>0</v>
      </c>
      <c r="E143" s="482">
        <f t="shared" si="25"/>
        <v>0</v>
      </c>
      <c r="F143" s="483">
        <f t="shared" si="26"/>
        <v>0</v>
      </c>
      <c r="G143" s="483">
        <f t="shared" si="27"/>
        <v>0</v>
      </c>
      <c r="H143" s="484">
        <f t="shared" si="28"/>
        <v>0</v>
      </c>
      <c r="I143" s="540">
        <f t="shared" si="29"/>
        <v>0</v>
      </c>
      <c r="J143" s="476">
        <f t="shared" si="30"/>
        <v>0</v>
      </c>
      <c r="K143" s="476"/>
      <c r="L143" s="485"/>
      <c r="M143" s="476">
        <f t="shared" si="31"/>
        <v>0</v>
      </c>
      <c r="N143" s="485"/>
      <c r="O143" s="476">
        <f t="shared" si="32"/>
        <v>0</v>
      </c>
      <c r="P143" s="476">
        <f t="shared" si="33"/>
        <v>0</v>
      </c>
    </row>
    <row r="144" spans="2:16" ht="12.5">
      <c r="B144" s="160" t="str">
        <f t="shared" si="22"/>
        <v/>
      </c>
      <c r="C144" s="470">
        <f>IF(D93="","-",+C143+1)</f>
        <v>2062</v>
      </c>
      <c r="D144" s="345">
        <f>IF(F143+SUM(E$99:E143)=D$92,F143,D$92-SUM(E$99:E143))</f>
        <v>0</v>
      </c>
      <c r="E144" s="482">
        <f t="shared" si="25"/>
        <v>0</v>
      </c>
      <c r="F144" s="483">
        <f t="shared" si="26"/>
        <v>0</v>
      </c>
      <c r="G144" s="483">
        <f t="shared" si="27"/>
        <v>0</v>
      </c>
      <c r="H144" s="484">
        <f t="shared" si="28"/>
        <v>0</v>
      </c>
      <c r="I144" s="540">
        <f t="shared" si="29"/>
        <v>0</v>
      </c>
      <c r="J144" s="476">
        <f t="shared" si="30"/>
        <v>0</v>
      </c>
      <c r="K144" s="476"/>
      <c r="L144" s="485"/>
      <c r="M144" s="476">
        <f t="shared" si="31"/>
        <v>0</v>
      </c>
      <c r="N144" s="485"/>
      <c r="O144" s="476">
        <f t="shared" si="32"/>
        <v>0</v>
      </c>
      <c r="P144" s="476">
        <f t="shared" si="33"/>
        <v>0</v>
      </c>
    </row>
    <row r="145" spans="2:16" ht="12.5">
      <c r="B145" s="160" t="str">
        <f t="shared" si="22"/>
        <v/>
      </c>
      <c r="C145" s="470">
        <f>IF(D93="","-",+C144+1)</f>
        <v>2063</v>
      </c>
      <c r="D145" s="345">
        <f>IF(F144+SUM(E$99:E144)=D$92,F144,D$92-SUM(E$99:E144))</f>
        <v>0</v>
      </c>
      <c r="E145" s="482">
        <f t="shared" si="25"/>
        <v>0</v>
      </c>
      <c r="F145" s="483">
        <f t="shared" si="26"/>
        <v>0</v>
      </c>
      <c r="G145" s="483">
        <f t="shared" si="27"/>
        <v>0</v>
      </c>
      <c r="H145" s="484">
        <f t="shared" si="28"/>
        <v>0</v>
      </c>
      <c r="I145" s="540">
        <f t="shared" si="29"/>
        <v>0</v>
      </c>
      <c r="J145" s="476">
        <f t="shared" si="30"/>
        <v>0</v>
      </c>
      <c r="K145" s="476"/>
      <c r="L145" s="485"/>
      <c r="M145" s="476">
        <f t="shared" si="31"/>
        <v>0</v>
      </c>
      <c r="N145" s="485"/>
      <c r="O145" s="476">
        <f t="shared" si="32"/>
        <v>0</v>
      </c>
      <c r="P145" s="476">
        <f t="shared" si="33"/>
        <v>0</v>
      </c>
    </row>
    <row r="146" spans="2:16" ht="12.5">
      <c r="B146" s="160" t="str">
        <f t="shared" si="22"/>
        <v/>
      </c>
      <c r="C146" s="470">
        <f>IF(D93="","-",+C145+1)</f>
        <v>2064</v>
      </c>
      <c r="D146" s="345">
        <f>IF(F145+SUM(E$99:E145)=D$92,F145,D$92-SUM(E$99:E145))</f>
        <v>0</v>
      </c>
      <c r="E146" s="482">
        <f t="shared" si="25"/>
        <v>0</v>
      </c>
      <c r="F146" s="483">
        <f t="shared" si="26"/>
        <v>0</v>
      </c>
      <c r="G146" s="483">
        <f t="shared" si="27"/>
        <v>0</v>
      </c>
      <c r="H146" s="484">
        <f t="shared" si="28"/>
        <v>0</v>
      </c>
      <c r="I146" s="540">
        <f t="shared" si="29"/>
        <v>0</v>
      </c>
      <c r="J146" s="476">
        <f t="shared" si="30"/>
        <v>0</v>
      </c>
      <c r="K146" s="476"/>
      <c r="L146" s="485"/>
      <c r="M146" s="476">
        <f t="shared" si="31"/>
        <v>0</v>
      </c>
      <c r="N146" s="485"/>
      <c r="O146" s="476">
        <f t="shared" si="32"/>
        <v>0</v>
      </c>
      <c r="P146" s="476">
        <f t="shared" si="33"/>
        <v>0</v>
      </c>
    </row>
    <row r="147" spans="2:16" ht="12.5">
      <c r="B147" s="160" t="str">
        <f t="shared" si="22"/>
        <v/>
      </c>
      <c r="C147" s="470">
        <f>IF(D93="","-",+C146+1)</f>
        <v>2065</v>
      </c>
      <c r="D147" s="345">
        <f>IF(F146+SUM(E$99:E146)=D$92,F146,D$92-SUM(E$99:E146))</f>
        <v>0</v>
      </c>
      <c r="E147" s="482">
        <f t="shared" si="25"/>
        <v>0</v>
      </c>
      <c r="F147" s="483">
        <f t="shared" si="26"/>
        <v>0</v>
      </c>
      <c r="G147" s="483">
        <f t="shared" si="27"/>
        <v>0</v>
      </c>
      <c r="H147" s="484">
        <f t="shared" si="28"/>
        <v>0</v>
      </c>
      <c r="I147" s="540">
        <f t="shared" si="29"/>
        <v>0</v>
      </c>
      <c r="J147" s="476">
        <f t="shared" si="30"/>
        <v>0</v>
      </c>
      <c r="K147" s="476"/>
      <c r="L147" s="485"/>
      <c r="M147" s="476">
        <f t="shared" si="31"/>
        <v>0</v>
      </c>
      <c r="N147" s="485"/>
      <c r="O147" s="476">
        <f t="shared" si="32"/>
        <v>0</v>
      </c>
      <c r="P147" s="476">
        <f t="shared" si="33"/>
        <v>0</v>
      </c>
    </row>
    <row r="148" spans="2:16" ht="12.5">
      <c r="B148" s="160" t="str">
        <f t="shared" si="22"/>
        <v/>
      </c>
      <c r="C148" s="470">
        <f>IF(D93="","-",+C147+1)</f>
        <v>2066</v>
      </c>
      <c r="D148" s="345">
        <f>IF(F147+SUM(E$99:E147)=D$92,F147,D$92-SUM(E$99:E147))</f>
        <v>0</v>
      </c>
      <c r="E148" s="482">
        <f t="shared" si="25"/>
        <v>0</v>
      </c>
      <c r="F148" s="483">
        <f t="shared" si="26"/>
        <v>0</v>
      </c>
      <c r="G148" s="483">
        <f t="shared" si="27"/>
        <v>0</v>
      </c>
      <c r="H148" s="484">
        <f t="shared" si="28"/>
        <v>0</v>
      </c>
      <c r="I148" s="540">
        <f t="shared" si="29"/>
        <v>0</v>
      </c>
      <c r="J148" s="476">
        <f t="shared" si="30"/>
        <v>0</v>
      </c>
      <c r="K148" s="476"/>
      <c r="L148" s="485"/>
      <c r="M148" s="476">
        <f t="shared" si="31"/>
        <v>0</v>
      </c>
      <c r="N148" s="485"/>
      <c r="O148" s="476">
        <f t="shared" si="32"/>
        <v>0</v>
      </c>
      <c r="P148" s="476">
        <f t="shared" si="33"/>
        <v>0</v>
      </c>
    </row>
    <row r="149" spans="2:16" ht="12.5">
      <c r="B149" s="160" t="str">
        <f t="shared" si="22"/>
        <v/>
      </c>
      <c r="C149" s="470">
        <f>IF(D93="","-",+C148+1)</f>
        <v>2067</v>
      </c>
      <c r="D149" s="345">
        <f>IF(F148+SUM(E$99:E148)=D$92,F148,D$92-SUM(E$99:E148))</f>
        <v>0</v>
      </c>
      <c r="E149" s="482">
        <f t="shared" si="25"/>
        <v>0</v>
      </c>
      <c r="F149" s="483">
        <f t="shared" si="26"/>
        <v>0</v>
      </c>
      <c r="G149" s="483">
        <f t="shared" si="27"/>
        <v>0</v>
      </c>
      <c r="H149" s="484">
        <f t="shared" si="28"/>
        <v>0</v>
      </c>
      <c r="I149" s="540">
        <f t="shared" si="29"/>
        <v>0</v>
      </c>
      <c r="J149" s="476">
        <f t="shared" si="30"/>
        <v>0</v>
      </c>
      <c r="K149" s="476"/>
      <c r="L149" s="485"/>
      <c r="M149" s="476">
        <f t="shared" si="31"/>
        <v>0</v>
      </c>
      <c r="N149" s="485"/>
      <c r="O149" s="476">
        <f t="shared" si="32"/>
        <v>0</v>
      </c>
      <c r="P149" s="476">
        <f t="shared" si="33"/>
        <v>0</v>
      </c>
    </row>
    <row r="150" spans="2:16" ht="12.5">
      <c r="B150" s="160" t="str">
        <f t="shared" si="22"/>
        <v/>
      </c>
      <c r="C150" s="470">
        <f>IF(D93="","-",+C149+1)</f>
        <v>2068</v>
      </c>
      <c r="D150" s="345">
        <f>IF(F149+SUM(E$99:E149)=D$92,F149,D$92-SUM(E$99:E149))</f>
        <v>0</v>
      </c>
      <c r="E150" s="482">
        <f t="shared" si="25"/>
        <v>0</v>
      </c>
      <c r="F150" s="483">
        <f t="shared" si="26"/>
        <v>0</v>
      </c>
      <c r="G150" s="483">
        <f t="shared" si="27"/>
        <v>0</v>
      </c>
      <c r="H150" s="484">
        <f t="shared" si="28"/>
        <v>0</v>
      </c>
      <c r="I150" s="540">
        <f t="shared" si="29"/>
        <v>0</v>
      </c>
      <c r="J150" s="476">
        <f t="shared" si="30"/>
        <v>0</v>
      </c>
      <c r="K150" s="476"/>
      <c r="L150" s="485"/>
      <c r="M150" s="476">
        <f t="shared" si="31"/>
        <v>0</v>
      </c>
      <c r="N150" s="485"/>
      <c r="O150" s="476">
        <f t="shared" si="32"/>
        <v>0</v>
      </c>
      <c r="P150" s="476">
        <f t="shared" si="33"/>
        <v>0</v>
      </c>
    </row>
    <row r="151" spans="2:16" ht="12.5">
      <c r="B151" s="160" t="str">
        <f t="shared" si="22"/>
        <v/>
      </c>
      <c r="C151" s="470">
        <f>IF(D93="","-",+C150+1)</f>
        <v>2069</v>
      </c>
      <c r="D151" s="345">
        <f>IF(F150+SUM(E$99:E150)=D$92,F150,D$92-SUM(E$99:E150))</f>
        <v>0</v>
      </c>
      <c r="E151" s="482">
        <f t="shared" si="25"/>
        <v>0</v>
      </c>
      <c r="F151" s="483">
        <f t="shared" si="26"/>
        <v>0</v>
      </c>
      <c r="G151" s="483">
        <f t="shared" si="27"/>
        <v>0</v>
      </c>
      <c r="H151" s="484">
        <f t="shared" si="28"/>
        <v>0</v>
      </c>
      <c r="I151" s="540">
        <f t="shared" si="29"/>
        <v>0</v>
      </c>
      <c r="J151" s="476">
        <f t="shared" si="30"/>
        <v>0</v>
      </c>
      <c r="K151" s="476"/>
      <c r="L151" s="485"/>
      <c r="M151" s="476">
        <f t="shared" si="31"/>
        <v>0</v>
      </c>
      <c r="N151" s="485"/>
      <c r="O151" s="476">
        <f t="shared" si="32"/>
        <v>0</v>
      </c>
      <c r="P151" s="476">
        <f t="shared" si="33"/>
        <v>0</v>
      </c>
    </row>
    <row r="152" spans="2:16" ht="12.5">
      <c r="B152" s="160" t="str">
        <f t="shared" si="22"/>
        <v/>
      </c>
      <c r="C152" s="470">
        <f>IF(D93="","-",+C151+1)</f>
        <v>2070</v>
      </c>
      <c r="D152" s="345">
        <f>IF(F151+SUM(E$99:E151)=D$92,F151,D$92-SUM(E$99:E151))</f>
        <v>0</v>
      </c>
      <c r="E152" s="482">
        <f t="shared" si="25"/>
        <v>0</v>
      </c>
      <c r="F152" s="483">
        <f t="shared" si="26"/>
        <v>0</v>
      </c>
      <c r="G152" s="483">
        <f t="shared" si="27"/>
        <v>0</v>
      </c>
      <c r="H152" s="484">
        <f t="shared" si="28"/>
        <v>0</v>
      </c>
      <c r="I152" s="540">
        <f t="shared" si="29"/>
        <v>0</v>
      </c>
      <c r="J152" s="476">
        <f t="shared" si="30"/>
        <v>0</v>
      </c>
      <c r="K152" s="476"/>
      <c r="L152" s="485"/>
      <c r="M152" s="476">
        <f t="shared" si="31"/>
        <v>0</v>
      </c>
      <c r="N152" s="485"/>
      <c r="O152" s="476">
        <f t="shared" si="32"/>
        <v>0</v>
      </c>
      <c r="P152" s="476">
        <f t="shared" si="33"/>
        <v>0</v>
      </c>
    </row>
    <row r="153" spans="2:16" ht="12.5">
      <c r="B153" s="160" t="str">
        <f t="shared" si="22"/>
        <v/>
      </c>
      <c r="C153" s="470">
        <f>IF(D93="","-",+C152+1)</f>
        <v>2071</v>
      </c>
      <c r="D153" s="345">
        <f>IF(F152+SUM(E$99:E152)=D$92,F152,D$92-SUM(E$99:E152))</f>
        <v>0</v>
      </c>
      <c r="E153" s="482">
        <f t="shared" si="25"/>
        <v>0</v>
      </c>
      <c r="F153" s="483">
        <f t="shared" si="26"/>
        <v>0</v>
      </c>
      <c r="G153" s="483">
        <f t="shared" si="27"/>
        <v>0</v>
      </c>
      <c r="H153" s="484">
        <f t="shared" si="28"/>
        <v>0</v>
      </c>
      <c r="I153" s="540">
        <f t="shared" si="29"/>
        <v>0</v>
      </c>
      <c r="J153" s="476">
        <f t="shared" si="30"/>
        <v>0</v>
      </c>
      <c r="K153" s="476"/>
      <c r="L153" s="485"/>
      <c r="M153" s="476">
        <f t="shared" si="31"/>
        <v>0</v>
      </c>
      <c r="N153" s="485"/>
      <c r="O153" s="476">
        <f t="shared" si="32"/>
        <v>0</v>
      </c>
      <c r="P153" s="476">
        <f t="shared" si="33"/>
        <v>0</v>
      </c>
    </row>
    <row r="154" spans="2:16" ht="13" thickBot="1">
      <c r="B154" s="160" t="str">
        <f t="shared" si="22"/>
        <v/>
      </c>
      <c r="C154" s="487">
        <f>IF(D93="","-",+C153+1)</f>
        <v>2072</v>
      </c>
      <c r="D154" s="541">
        <f>IF(F153+SUM(E$99:E153)=D$92,F153,D$92-SUM(E$99:E153))</f>
        <v>0</v>
      </c>
      <c r="E154" s="489">
        <f t="shared" si="25"/>
        <v>0</v>
      </c>
      <c r="F154" s="488">
        <f t="shared" si="26"/>
        <v>0</v>
      </c>
      <c r="G154" s="488">
        <f t="shared" si="27"/>
        <v>0</v>
      </c>
      <c r="H154" s="610">
        <f t="shared" ref="H154" si="34">+J$94*G154+E154</f>
        <v>0</v>
      </c>
      <c r="I154" s="611">
        <f t="shared" ref="I154" si="35">+J$95*G154+E154</f>
        <v>0</v>
      </c>
      <c r="J154" s="493">
        <f t="shared" si="30"/>
        <v>0</v>
      </c>
      <c r="K154" s="476"/>
      <c r="L154" s="492"/>
      <c r="M154" s="493">
        <f t="shared" si="31"/>
        <v>0</v>
      </c>
      <c r="N154" s="492"/>
      <c r="O154" s="493">
        <f t="shared" si="32"/>
        <v>0</v>
      </c>
      <c r="P154" s="493">
        <f t="shared" si="33"/>
        <v>0</v>
      </c>
    </row>
    <row r="155" spans="2:16" ht="12.5">
      <c r="C155" s="345" t="s">
        <v>77</v>
      </c>
      <c r="D155" s="346"/>
      <c r="E155" s="346">
        <f>SUM(E99:E154)</f>
        <v>330872.36</v>
      </c>
      <c r="F155" s="346"/>
      <c r="G155" s="346"/>
      <c r="H155" s="346">
        <f>SUM(H99:H154)</f>
        <v>1060386.9121434947</v>
      </c>
      <c r="I155" s="346">
        <f>SUM(I99:I154)</f>
        <v>1060386.9121434947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1"/>
  <dimension ref="A1:P162"/>
  <sheetViews>
    <sheetView topLeftCell="A66" zoomScaleNormal="100" zoomScaleSheetLayoutView="78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22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31890.799977104634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31890.799977104634</v>
      </c>
      <c r="O6" s="231"/>
      <c r="P6" s="231"/>
    </row>
    <row r="7" spans="1:16" ht="13.5" thickBot="1">
      <c r="C7" s="429" t="s">
        <v>46</v>
      </c>
      <c r="D7" s="597" t="s">
        <v>275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297</v>
      </c>
      <c r="E9" s="575" t="s">
        <v>298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244000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6256.4102564102568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2018</v>
      </c>
      <c r="D17" s="582">
        <v>0</v>
      </c>
      <c r="E17" s="605">
        <v>2711.1111111111113</v>
      </c>
      <c r="F17" s="582">
        <v>241288.88888888888</v>
      </c>
      <c r="G17" s="605">
        <v>17159.361980055266</v>
      </c>
      <c r="H17" s="585">
        <v>17159.361980055266</v>
      </c>
      <c r="I17" s="473">
        <f t="shared" ref="I17:I72" si="0">H17-G17</f>
        <v>0</v>
      </c>
      <c r="J17" s="473"/>
      <c r="K17" s="552">
        <f t="shared" ref="K17:K22" si="1">+G17</f>
        <v>17159.361980055266</v>
      </c>
      <c r="L17" s="475">
        <f t="shared" ref="L17:L72" si="2">IF(K17&lt;&gt;0,+G17-K17,0)</f>
        <v>0</v>
      </c>
      <c r="M17" s="552">
        <f t="shared" ref="M17:M22" si="3">+H17</f>
        <v>17159.361980055266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2019</v>
      </c>
      <c r="D18" s="582">
        <v>241288.88888888888</v>
      </c>
      <c r="E18" s="583">
        <v>6100</v>
      </c>
      <c r="F18" s="582">
        <v>235188.88888888888</v>
      </c>
      <c r="G18" s="583">
        <v>32700.951777404996</v>
      </c>
      <c r="H18" s="585">
        <v>32700.951777404996</v>
      </c>
      <c r="I18" s="473">
        <f t="shared" si="0"/>
        <v>0</v>
      </c>
      <c r="J18" s="473"/>
      <c r="K18" s="476">
        <f t="shared" si="1"/>
        <v>32700.951777404996</v>
      </c>
      <c r="L18" s="476">
        <f t="shared" si="2"/>
        <v>0</v>
      </c>
      <c r="M18" s="476">
        <f t="shared" si="3"/>
        <v>32700.951777404996</v>
      </c>
      <c r="N18" s="476">
        <f t="shared" si="4"/>
        <v>0</v>
      </c>
      <c r="O18" s="476">
        <f t="shared" si="5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2020</v>
      </c>
      <c r="D19" s="582">
        <v>235866.66666666666</v>
      </c>
      <c r="E19" s="583">
        <v>5809.5238095238092</v>
      </c>
      <c r="F19" s="582">
        <v>230057.14285714284</v>
      </c>
      <c r="G19" s="583">
        <v>30970.52236185109</v>
      </c>
      <c r="H19" s="585">
        <v>30970.52236185109</v>
      </c>
      <c r="I19" s="473">
        <f t="shared" si="0"/>
        <v>0</v>
      </c>
      <c r="J19" s="473"/>
      <c r="K19" s="476">
        <f t="shared" si="1"/>
        <v>30970.52236185109</v>
      </c>
      <c r="L19" s="476">
        <f t="shared" ref="L19" si="6">IF(K19&lt;&gt;0,+G19-K19,0)</f>
        <v>0</v>
      </c>
      <c r="M19" s="476">
        <f t="shared" si="3"/>
        <v>30970.52236185109</v>
      </c>
      <c r="N19" s="476">
        <f t="shared" si="4"/>
        <v>0</v>
      </c>
      <c r="O19" s="476">
        <f t="shared" si="5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2021</v>
      </c>
      <c r="D20" s="582">
        <v>229379.36507936509</v>
      </c>
      <c r="E20" s="583">
        <v>5674.4186046511632</v>
      </c>
      <c r="F20" s="582">
        <v>223704.94647471391</v>
      </c>
      <c r="G20" s="583">
        <v>30100.568065113996</v>
      </c>
      <c r="H20" s="585">
        <v>30100.568065113996</v>
      </c>
      <c r="I20" s="473">
        <f t="shared" si="0"/>
        <v>0</v>
      </c>
      <c r="J20" s="473"/>
      <c r="K20" s="476">
        <f t="shared" si="1"/>
        <v>30100.568065113996</v>
      </c>
      <c r="L20" s="476">
        <f t="shared" ref="L20" si="8">IF(K20&lt;&gt;0,+G20-K20,0)</f>
        <v>0</v>
      </c>
      <c r="M20" s="476">
        <f t="shared" si="3"/>
        <v>30100.568065113996</v>
      </c>
      <c r="N20" s="476">
        <f t="shared" si="4"/>
        <v>0</v>
      </c>
      <c r="O20" s="476">
        <f t="shared" si="5"/>
        <v>0</v>
      </c>
      <c r="P20" s="241"/>
    </row>
    <row r="21" spans="2:16" ht="12.5">
      <c r="B21" s="160" t="str">
        <f t="shared" si="7"/>
        <v/>
      </c>
      <c r="C21" s="470">
        <f>IF(D11="","-",+C20+1)</f>
        <v>2022</v>
      </c>
      <c r="D21" s="582">
        <v>223704.94647471391</v>
      </c>
      <c r="E21" s="583">
        <v>5809.5238095238092</v>
      </c>
      <c r="F21" s="582">
        <v>217895.4226651901</v>
      </c>
      <c r="G21" s="583">
        <v>29614.266782481478</v>
      </c>
      <c r="H21" s="585">
        <v>29614.266782481478</v>
      </c>
      <c r="I21" s="473">
        <f t="shared" si="0"/>
        <v>0</v>
      </c>
      <c r="J21" s="473"/>
      <c r="K21" s="476">
        <f t="shared" si="1"/>
        <v>29614.266782481478</v>
      </c>
      <c r="L21" s="476">
        <f t="shared" ref="L21" si="9">IF(K21&lt;&gt;0,+G21-K21,0)</f>
        <v>0</v>
      </c>
      <c r="M21" s="476">
        <f t="shared" si="3"/>
        <v>29614.266782481478</v>
      </c>
      <c r="N21" s="476">
        <f t="shared" si="4"/>
        <v>0</v>
      </c>
      <c r="O21" s="476">
        <f t="shared" si="5"/>
        <v>0</v>
      </c>
      <c r="P21" s="241"/>
    </row>
    <row r="22" spans="2:16" ht="12.5">
      <c r="B22" s="160" t="str">
        <f t="shared" si="7"/>
        <v/>
      </c>
      <c r="C22" s="470">
        <f>IF(D11="","-",+C21+1)</f>
        <v>2023</v>
      </c>
      <c r="D22" s="582">
        <v>217895.4226651901</v>
      </c>
      <c r="E22" s="583">
        <v>6256.4102564102568</v>
      </c>
      <c r="F22" s="582">
        <v>211639.01240877985</v>
      </c>
      <c r="G22" s="583">
        <v>31890.799977104634</v>
      </c>
      <c r="H22" s="585">
        <v>31890.799977104634</v>
      </c>
      <c r="I22" s="473">
        <f t="shared" si="0"/>
        <v>0</v>
      </c>
      <c r="J22" s="473"/>
      <c r="K22" s="476">
        <f t="shared" si="1"/>
        <v>31890.799977104634</v>
      </c>
      <c r="L22" s="476">
        <f t="shared" ref="L22" si="10">IF(K22&lt;&gt;0,+G22-K22,0)</f>
        <v>0</v>
      </c>
      <c r="M22" s="476">
        <f t="shared" si="3"/>
        <v>31890.799977104634</v>
      </c>
      <c r="N22" s="476">
        <f t="shared" si="4"/>
        <v>0</v>
      </c>
      <c r="O22" s="476">
        <f t="shared" si="5"/>
        <v>0</v>
      </c>
      <c r="P22" s="241"/>
    </row>
    <row r="23" spans="2:16" ht="12.5">
      <c r="B23" s="160" t="str">
        <f t="shared" si="7"/>
        <v/>
      </c>
      <c r="C23" s="470">
        <f>IF(D11="","-",+C22+1)</f>
        <v>2024</v>
      </c>
      <c r="D23" s="481">
        <f>IF(F22+SUM(E$17:E22)=D$10,F22,D$10-SUM(E$17:E22))</f>
        <v>211639.01240877985</v>
      </c>
      <c r="E23" s="482">
        <f t="shared" ref="E23:E72" si="11">IF(+I$14&lt;F22,I$14,D23)</f>
        <v>6256.4102564102568</v>
      </c>
      <c r="F23" s="483">
        <f t="shared" ref="F23:F72" si="12">+D23-E23</f>
        <v>205382.6021523696</v>
      </c>
      <c r="G23" s="484">
        <f t="shared" ref="G23:G72" si="13">(D23+F23)/2*I$12+E23</f>
        <v>31144.041414021089</v>
      </c>
      <c r="H23" s="453">
        <f t="shared" ref="H23:H72" si="14">+(D23+F23)/2*I$13+E23</f>
        <v>31144.041414021089</v>
      </c>
      <c r="I23" s="473">
        <f t="shared" si="0"/>
        <v>0</v>
      </c>
      <c r="J23" s="473"/>
      <c r="K23" s="485"/>
      <c r="L23" s="476">
        <f t="shared" si="2"/>
        <v>0</v>
      </c>
      <c r="M23" s="485"/>
      <c r="N23" s="476">
        <f t="shared" si="4"/>
        <v>0</v>
      </c>
      <c r="O23" s="476">
        <f t="shared" si="5"/>
        <v>0</v>
      </c>
      <c r="P23" s="241"/>
    </row>
    <row r="24" spans="2:16" ht="12.5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205382.6021523696</v>
      </c>
      <c r="E24" s="482">
        <f t="shared" si="11"/>
        <v>6256.4102564102568</v>
      </c>
      <c r="F24" s="483">
        <f t="shared" si="12"/>
        <v>199126.19189595935</v>
      </c>
      <c r="G24" s="484">
        <f t="shared" si="13"/>
        <v>30397.282850937547</v>
      </c>
      <c r="H24" s="453">
        <f t="shared" si="14"/>
        <v>30397.282850937547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 ht="12.5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199126.19189595935</v>
      </c>
      <c r="E25" s="482">
        <f t="shared" si="11"/>
        <v>6256.4102564102568</v>
      </c>
      <c r="F25" s="483">
        <f t="shared" si="12"/>
        <v>192869.7816395491</v>
      </c>
      <c r="G25" s="484">
        <f t="shared" si="13"/>
        <v>29650.524287854001</v>
      </c>
      <c r="H25" s="453">
        <f t="shared" si="14"/>
        <v>29650.524287854001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 ht="12.5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192869.7816395491</v>
      </c>
      <c r="E26" s="482">
        <f t="shared" si="11"/>
        <v>6256.4102564102568</v>
      </c>
      <c r="F26" s="483">
        <f t="shared" si="12"/>
        <v>186613.37138313884</v>
      </c>
      <c r="G26" s="484">
        <f t="shared" si="13"/>
        <v>28903.765724770459</v>
      </c>
      <c r="H26" s="453">
        <f t="shared" si="14"/>
        <v>28903.765724770459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 ht="12.5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186613.37138313884</v>
      </c>
      <c r="E27" s="482">
        <f t="shared" si="11"/>
        <v>6256.4102564102568</v>
      </c>
      <c r="F27" s="483">
        <f t="shared" si="12"/>
        <v>180356.96112672859</v>
      </c>
      <c r="G27" s="484">
        <f t="shared" si="13"/>
        <v>28157.007161686914</v>
      </c>
      <c r="H27" s="453">
        <f t="shared" si="14"/>
        <v>28157.007161686914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 ht="12.5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180356.96112672859</v>
      </c>
      <c r="E28" s="482">
        <f t="shared" si="11"/>
        <v>6256.4102564102568</v>
      </c>
      <c r="F28" s="483">
        <f t="shared" si="12"/>
        <v>174100.55087031834</v>
      </c>
      <c r="G28" s="484">
        <f t="shared" si="13"/>
        <v>27410.248598603372</v>
      </c>
      <c r="H28" s="453">
        <f t="shared" si="14"/>
        <v>27410.248598603372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 ht="12.5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174100.55087031834</v>
      </c>
      <c r="E29" s="482">
        <f t="shared" si="11"/>
        <v>6256.4102564102568</v>
      </c>
      <c r="F29" s="483">
        <f t="shared" si="12"/>
        <v>167844.14061390809</v>
      </c>
      <c r="G29" s="484">
        <f t="shared" si="13"/>
        <v>26663.490035519826</v>
      </c>
      <c r="H29" s="453">
        <f t="shared" si="14"/>
        <v>26663.490035519826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 ht="12.5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167844.14061390809</v>
      </c>
      <c r="E30" s="482">
        <f t="shared" si="11"/>
        <v>6256.4102564102568</v>
      </c>
      <c r="F30" s="483">
        <f t="shared" si="12"/>
        <v>161587.73035749784</v>
      </c>
      <c r="G30" s="484">
        <f t="shared" si="13"/>
        <v>25916.731472436284</v>
      </c>
      <c r="H30" s="453">
        <f t="shared" si="14"/>
        <v>25916.731472436284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 ht="12.5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161587.73035749784</v>
      </c>
      <c r="E31" s="482">
        <f t="shared" si="11"/>
        <v>6256.4102564102568</v>
      </c>
      <c r="F31" s="483">
        <f t="shared" si="12"/>
        <v>155331.32010108759</v>
      </c>
      <c r="G31" s="484">
        <f t="shared" si="13"/>
        <v>25169.972909352738</v>
      </c>
      <c r="H31" s="453">
        <f t="shared" si="14"/>
        <v>25169.972909352738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 ht="12.5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155331.32010108759</v>
      </c>
      <c r="E32" s="482">
        <f t="shared" si="11"/>
        <v>6256.4102564102568</v>
      </c>
      <c r="F32" s="483">
        <f t="shared" si="12"/>
        <v>149074.90984467734</v>
      </c>
      <c r="G32" s="484">
        <f t="shared" si="13"/>
        <v>24423.214346269197</v>
      </c>
      <c r="H32" s="453">
        <f t="shared" si="14"/>
        <v>24423.214346269197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 ht="12.5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149074.90984467734</v>
      </c>
      <c r="E33" s="482">
        <f t="shared" si="11"/>
        <v>6256.4102564102568</v>
      </c>
      <c r="F33" s="483">
        <f t="shared" si="12"/>
        <v>142818.49958826709</v>
      </c>
      <c r="G33" s="484">
        <f t="shared" si="13"/>
        <v>23676.455783185651</v>
      </c>
      <c r="H33" s="453">
        <f t="shared" si="14"/>
        <v>23676.455783185651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 ht="12.5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142818.49958826709</v>
      </c>
      <c r="E34" s="482">
        <f t="shared" si="11"/>
        <v>6256.4102564102568</v>
      </c>
      <c r="F34" s="483">
        <f t="shared" si="12"/>
        <v>136562.08933185684</v>
      </c>
      <c r="G34" s="484">
        <f t="shared" si="13"/>
        <v>22929.697220102105</v>
      </c>
      <c r="H34" s="453">
        <f t="shared" si="14"/>
        <v>22929.697220102105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 ht="12.5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136562.08933185684</v>
      </c>
      <c r="E35" s="482">
        <f t="shared" si="11"/>
        <v>6256.4102564102568</v>
      </c>
      <c r="F35" s="483">
        <f t="shared" si="12"/>
        <v>130305.67907544659</v>
      </c>
      <c r="G35" s="484">
        <f t="shared" si="13"/>
        <v>22182.938657018563</v>
      </c>
      <c r="H35" s="453">
        <f t="shared" si="14"/>
        <v>22182.938657018563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 ht="12.5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130305.67907544659</v>
      </c>
      <c r="E36" s="482">
        <f t="shared" si="11"/>
        <v>6256.4102564102568</v>
      </c>
      <c r="F36" s="483">
        <f t="shared" si="12"/>
        <v>124049.26881903634</v>
      </c>
      <c r="G36" s="484">
        <f t="shared" si="13"/>
        <v>21436.180093935018</v>
      </c>
      <c r="H36" s="453">
        <f t="shared" si="14"/>
        <v>21436.180093935018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 ht="12.5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124049.26881903634</v>
      </c>
      <c r="E37" s="482">
        <f t="shared" si="11"/>
        <v>6256.4102564102568</v>
      </c>
      <c r="F37" s="483">
        <f t="shared" si="12"/>
        <v>117792.85856262609</v>
      </c>
      <c r="G37" s="484">
        <f t="shared" si="13"/>
        <v>20689.421530851476</v>
      </c>
      <c r="H37" s="453">
        <f t="shared" si="14"/>
        <v>20689.421530851476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 ht="12.5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117792.85856262609</v>
      </c>
      <c r="E38" s="482">
        <f t="shared" si="11"/>
        <v>6256.4102564102568</v>
      </c>
      <c r="F38" s="483">
        <f t="shared" si="12"/>
        <v>111536.44830621584</v>
      </c>
      <c r="G38" s="484">
        <f t="shared" si="13"/>
        <v>19942.66296776793</v>
      </c>
      <c r="H38" s="453">
        <f t="shared" si="14"/>
        <v>19942.66296776793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 ht="12.5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111536.44830621584</v>
      </c>
      <c r="E39" s="482">
        <f t="shared" si="11"/>
        <v>6256.4102564102568</v>
      </c>
      <c r="F39" s="483">
        <f t="shared" si="12"/>
        <v>105280.03804980559</v>
      </c>
      <c r="G39" s="484">
        <f t="shared" si="13"/>
        <v>19195.904404684388</v>
      </c>
      <c r="H39" s="453">
        <f t="shared" si="14"/>
        <v>19195.904404684388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 ht="12.5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105280.03804980559</v>
      </c>
      <c r="E40" s="482">
        <f t="shared" si="11"/>
        <v>6256.4102564102568</v>
      </c>
      <c r="F40" s="483">
        <f t="shared" si="12"/>
        <v>99023.627793395339</v>
      </c>
      <c r="G40" s="484">
        <f t="shared" si="13"/>
        <v>18449.145841600843</v>
      </c>
      <c r="H40" s="453">
        <f t="shared" si="14"/>
        <v>18449.145841600843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 ht="12.5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99023.627793395339</v>
      </c>
      <c r="E41" s="482">
        <f t="shared" si="11"/>
        <v>6256.4102564102568</v>
      </c>
      <c r="F41" s="483">
        <f t="shared" si="12"/>
        <v>92767.217536985088</v>
      </c>
      <c r="G41" s="484">
        <f t="shared" si="13"/>
        <v>17702.387278517297</v>
      </c>
      <c r="H41" s="453">
        <f t="shared" si="14"/>
        <v>17702.387278517297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 ht="12.5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92767.217536985088</v>
      </c>
      <c r="E42" s="482">
        <f t="shared" si="11"/>
        <v>6256.4102564102568</v>
      </c>
      <c r="F42" s="483">
        <f t="shared" si="12"/>
        <v>86510.807280574838</v>
      </c>
      <c r="G42" s="484">
        <f t="shared" si="13"/>
        <v>16955.628715433755</v>
      </c>
      <c r="H42" s="453">
        <f t="shared" si="14"/>
        <v>16955.628715433755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 ht="12.5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86510.807280574838</v>
      </c>
      <c r="E43" s="482">
        <f t="shared" si="11"/>
        <v>6256.4102564102568</v>
      </c>
      <c r="F43" s="483">
        <f t="shared" si="12"/>
        <v>80254.397024164587</v>
      </c>
      <c r="G43" s="484">
        <f t="shared" si="13"/>
        <v>16208.87015235021</v>
      </c>
      <c r="H43" s="453">
        <f t="shared" si="14"/>
        <v>16208.87015235021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 ht="12.5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80254.397024164587</v>
      </c>
      <c r="E44" s="482">
        <f t="shared" si="11"/>
        <v>6256.4102564102568</v>
      </c>
      <c r="F44" s="483">
        <f t="shared" si="12"/>
        <v>73997.986767754337</v>
      </c>
      <c r="G44" s="484">
        <f t="shared" si="13"/>
        <v>15462.111589266668</v>
      </c>
      <c r="H44" s="453">
        <f t="shared" si="14"/>
        <v>15462.111589266668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 ht="12.5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73997.986767754337</v>
      </c>
      <c r="E45" s="482">
        <f t="shared" si="11"/>
        <v>6256.4102564102568</v>
      </c>
      <c r="F45" s="483">
        <f t="shared" si="12"/>
        <v>67741.576511344087</v>
      </c>
      <c r="G45" s="484">
        <f t="shared" si="13"/>
        <v>14715.353026183122</v>
      </c>
      <c r="H45" s="453">
        <f t="shared" si="14"/>
        <v>14715.353026183122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 ht="12.5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67741.576511344087</v>
      </c>
      <c r="E46" s="482">
        <f t="shared" si="11"/>
        <v>6256.4102564102568</v>
      </c>
      <c r="F46" s="483">
        <f t="shared" si="12"/>
        <v>61485.166254933829</v>
      </c>
      <c r="G46" s="484">
        <f t="shared" si="13"/>
        <v>13968.59446309958</v>
      </c>
      <c r="H46" s="453">
        <f t="shared" si="14"/>
        <v>13968.59446309958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 ht="12.5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61485.166254933829</v>
      </c>
      <c r="E47" s="482">
        <f t="shared" si="11"/>
        <v>6256.4102564102568</v>
      </c>
      <c r="F47" s="483">
        <f t="shared" si="12"/>
        <v>55228.755998523571</v>
      </c>
      <c r="G47" s="484">
        <f t="shared" si="13"/>
        <v>13221.835900016034</v>
      </c>
      <c r="H47" s="453">
        <f t="shared" si="14"/>
        <v>13221.835900016034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 ht="12.5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55228.755998523571</v>
      </c>
      <c r="E48" s="482">
        <f t="shared" si="11"/>
        <v>6256.4102564102568</v>
      </c>
      <c r="F48" s="483">
        <f t="shared" si="12"/>
        <v>48972.345742113313</v>
      </c>
      <c r="G48" s="484">
        <f t="shared" si="13"/>
        <v>12475.077336932489</v>
      </c>
      <c r="H48" s="453">
        <f t="shared" si="14"/>
        <v>12475.077336932489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 ht="12.5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48972.345742113313</v>
      </c>
      <c r="E49" s="482">
        <f t="shared" si="11"/>
        <v>6256.4102564102568</v>
      </c>
      <c r="F49" s="483">
        <f t="shared" si="12"/>
        <v>42715.935485703056</v>
      </c>
      <c r="G49" s="484">
        <f t="shared" si="13"/>
        <v>11728.318773848943</v>
      </c>
      <c r="H49" s="453">
        <f t="shared" si="14"/>
        <v>11728.318773848943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 ht="12.5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42715.935485703056</v>
      </c>
      <c r="E50" s="482">
        <f t="shared" si="11"/>
        <v>6256.4102564102568</v>
      </c>
      <c r="F50" s="483">
        <f t="shared" si="12"/>
        <v>36459.525229292798</v>
      </c>
      <c r="G50" s="484">
        <f t="shared" si="13"/>
        <v>10981.560210765401</v>
      </c>
      <c r="H50" s="453">
        <f t="shared" si="14"/>
        <v>10981.560210765401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 ht="12.5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36459.525229292798</v>
      </c>
      <c r="E51" s="482">
        <f t="shared" si="11"/>
        <v>6256.4102564102568</v>
      </c>
      <c r="F51" s="483">
        <f t="shared" si="12"/>
        <v>30203.11497288254</v>
      </c>
      <c r="G51" s="484">
        <f t="shared" si="13"/>
        <v>10234.801647681854</v>
      </c>
      <c r="H51" s="453">
        <f t="shared" si="14"/>
        <v>10234.801647681854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 ht="12.5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30203.11497288254</v>
      </c>
      <c r="E52" s="482">
        <f t="shared" si="11"/>
        <v>6256.4102564102568</v>
      </c>
      <c r="F52" s="483">
        <f t="shared" si="12"/>
        <v>23946.704716472283</v>
      </c>
      <c r="G52" s="484">
        <f t="shared" si="13"/>
        <v>9488.0430845983101</v>
      </c>
      <c r="H52" s="453">
        <f t="shared" si="14"/>
        <v>9488.0430845983101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 ht="12.5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23946.704716472283</v>
      </c>
      <c r="E53" s="482">
        <f t="shared" si="11"/>
        <v>6256.4102564102568</v>
      </c>
      <c r="F53" s="483">
        <f t="shared" si="12"/>
        <v>17690.294460062025</v>
      </c>
      <c r="G53" s="484">
        <f t="shared" si="13"/>
        <v>8741.2845215147645</v>
      </c>
      <c r="H53" s="453">
        <f t="shared" si="14"/>
        <v>8741.2845215147645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 ht="12.5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17690.294460062025</v>
      </c>
      <c r="E54" s="482">
        <f t="shared" si="11"/>
        <v>6256.4102564102568</v>
      </c>
      <c r="F54" s="483">
        <f t="shared" si="12"/>
        <v>11433.884203651767</v>
      </c>
      <c r="G54" s="484">
        <f t="shared" si="13"/>
        <v>7994.5259584312207</v>
      </c>
      <c r="H54" s="453">
        <f t="shared" si="14"/>
        <v>7994.5259584312207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 ht="12.5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11433.884203651767</v>
      </c>
      <c r="E55" s="482">
        <f t="shared" si="11"/>
        <v>6256.4102564102568</v>
      </c>
      <c r="F55" s="483">
        <f t="shared" si="12"/>
        <v>5177.4739472415104</v>
      </c>
      <c r="G55" s="484">
        <f t="shared" si="13"/>
        <v>7247.767395347676</v>
      </c>
      <c r="H55" s="453">
        <f t="shared" si="14"/>
        <v>7247.767395347676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 ht="12.5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5177.4739472415104</v>
      </c>
      <c r="E56" s="482">
        <f t="shared" si="11"/>
        <v>5177.4739472415104</v>
      </c>
      <c r="F56" s="483">
        <f t="shared" si="12"/>
        <v>0</v>
      </c>
      <c r="G56" s="484">
        <f t="shared" si="13"/>
        <v>5486.4628759393336</v>
      </c>
      <c r="H56" s="453">
        <f t="shared" si="14"/>
        <v>5486.4628759393336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 ht="12.5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1"/>
        <v>0</v>
      </c>
      <c r="F57" s="483">
        <f t="shared" si="12"/>
        <v>0</v>
      </c>
      <c r="G57" s="484">
        <f t="shared" si="13"/>
        <v>0</v>
      </c>
      <c r="H57" s="453">
        <f t="shared" si="14"/>
        <v>0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 ht="12.5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1"/>
        <v>0</v>
      </c>
      <c r="F58" s="483">
        <f t="shared" si="12"/>
        <v>0</v>
      </c>
      <c r="G58" s="484">
        <f t="shared" si="13"/>
        <v>0</v>
      </c>
      <c r="H58" s="453">
        <f t="shared" si="14"/>
        <v>0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 ht="12.5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1"/>
        <v>0</v>
      </c>
      <c r="F59" s="483">
        <f t="shared" si="12"/>
        <v>0</v>
      </c>
      <c r="G59" s="484">
        <f t="shared" si="13"/>
        <v>0</v>
      </c>
      <c r="H59" s="453">
        <f t="shared" si="14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 ht="12.5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1"/>
        <v>0</v>
      </c>
      <c r="F60" s="483">
        <f t="shared" si="12"/>
        <v>0</v>
      </c>
      <c r="G60" s="484">
        <f t="shared" si="13"/>
        <v>0</v>
      </c>
      <c r="H60" s="453">
        <f t="shared" si="14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 ht="12.5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1"/>
        <v>0</v>
      </c>
      <c r="F61" s="483">
        <f t="shared" si="12"/>
        <v>0</v>
      </c>
      <c r="G61" s="484">
        <f t="shared" si="13"/>
        <v>0</v>
      </c>
      <c r="H61" s="453">
        <f t="shared" si="14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 ht="12.5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1"/>
        <v>0</v>
      </c>
      <c r="F62" s="483">
        <f t="shared" si="12"/>
        <v>0</v>
      </c>
      <c r="G62" s="484">
        <f t="shared" si="13"/>
        <v>0</v>
      </c>
      <c r="H62" s="453">
        <f t="shared" si="14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 ht="12.5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1"/>
        <v>0</v>
      </c>
      <c r="F63" s="483">
        <f t="shared" si="12"/>
        <v>0</v>
      </c>
      <c r="G63" s="484">
        <f t="shared" si="13"/>
        <v>0</v>
      </c>
      <c r="H63" s="453">
        <f t="shared" si="14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 ht="12.5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1"/>
        <v>0</v>
      </c>
      <c r="F64" s="483">
        <f t="shared" si="12"/>
        <v>0</v>
      </c>
      <c r="G64" s="484">
        <f t="shared" si="13"/>
        <v>0</v>
      </c>
      <c r="H64" s="453">
        <f t="shared" si="14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 ht="12.5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1"/>
        <v>0</v>
      </c>
      <c r="F65" s="483">
        <f t="shared" si="12"/>
        <v>0</v>
      </c>
      <c r="G65" s="484">
        <f t="shared" si="13"/>
        <v>0</v>
      </c>
      <c r="H65" s="453">
        <f t="shared" si="14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 ht="12.5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1"/>
        <v>0</v>
      </c>
      <c r="F66" s="483">
        <f t="shared" si="12"/>
        <v>0</v>
      </c>
      <c r="G66" s="484">
        <f t="shared" si="13"/>
        <v>0</v>
      </c>
      <c r="H66" s="453">
        <f t="shared" si="14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 ht="12.5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1"/>
        <v>0</v>
      </c>
      <c r="F67" s="483">
        <f t="shared" si="12"/>
        <v>0</v>
      </c>
      <c r="G67" s="484">
        <f t="shared" si="13"/>
        <v>0</v>
      </c>
      <c r="H67" s="453">
        <f t="shared" si="14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 ht="12.5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1"/>
        <v>0</v>
      </c>
      <c r="F68" s="483">
        <f t="shared" si="12"/>
        <v>0</v>
      </c>
      <c r="G68" s="484">
        <f t="shared" si="13"/>
        <v>0</v>
      </c>
      <c r="H68" s="453">
        <f t="shared" si="14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 ht="12.5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1"/>
        <v>0</v>
      </c>
      <c r="F69" s="483">
        <f t="shared" si="12"/>
        <v>0</v>
      </c>
      <c r="G69" s="484">
        <f t="shared" si="13"/>
        <v>0</v>
      </c>
      <c r="H69" s="453">
        <f t="shared" si="14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 ht="12.5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1"/>
        <v>0</v>
      </c>
      <c r="F70" s="483">
        <f t="shared" si="12"/>
        <v>0</v>
      </c>
      <c r="G70" s="484">
        <f t="shared" si="13"/>
        <v>0</v>
      </c>
      <c r="H70" s="453">
        <f t="shared" si="14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 ht="12.5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1"/>
        <v>0</v>
      </c>
      <c r="F71" s="483">
        <f t="shared" si="12"/>
        <v>0</v>
      </c>
      <c r="G71" s="484">
        <f t="shared" si="13"/>
        <v>0</v>
      </c>
      <c r="H71" s="453">
        <f t="shared" si="14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2073</v>
      </c>
      <c r="D72" s="609">
        <f>IF(F71+SUM(E$17:E71)=D$10,F71,D$10-SUM(E$17:E71))</f>
        <v>0</v>
      </c>
      <c r="E72" s="489">
        <f t="shared" si="11"/>
        <v>0</v>
      </c>
      <c r="F72" s="488">
        <f t="shared" si="12"/>
        <v>0</v>
      </c>
      <c r="G72" s="542">
        <f t="shared" si="13"/>
        <v>0</v>
      </c>
      <c r="H72" s="433">
        <f t="shared" si="14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 ht="12.5">
      <c r="C73" s="345" t="s">
        <v>77</v>
      </c>
      <c r="D73" s="346"/>
      <c r="E73" s="346">
        <f>SUM(E17:E72)</f>
        <v>243999.99999999997</v>
      </c>
      <c r="F73" s="346"/>
      <c r="G73" s="346">
        <f>SUM(G17:G72)</f>
        <v>811387.77917453554</v>
      </c>
      <c r="H73" s="346">
        <f>SUM(H17:H72)</f>
        <v>811387.77917453554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22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31890.799977104634</v>
      </c>
      <c r="N87" s="506">
        <f>IF(J92&lt;D11,0,VLOOKUP(J92,C17:O72,11))</f>
        <v>31890.799977104634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30879.353713761124</v>
      </c>
      <c r="N88" s="510">
        <f>IF(J92&lt;D11,0,VLOOKUP(J92,C99:P154,7))</f>
        <v>30879.353713761124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Northeastern Station 138 kV Terminal Upgrades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-1011.4462633435105</v>
      </c>
      <c r="N89" s="515">
        <f>+N88-N87</f>
        <v>-1011.4462633435105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TP2015169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244000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6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6421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2018</v>
      </c>
      <c r="D99" s="582">
        <v>0</v>
      </c>
      <c r="E99" s="605">
        <v>2837</v>
      </c>
      <c r="F99" s="582">
        <v>241163</v>
      </c>
      <c r="G99" s="605">
        <v>120581.5</v>
      </c>
      <c r="H99" s="585">
        <v>15225.00875134001</v>
      </c>
      <c r="I99" s="604">
        <v>15225.00875134001</v>
      </c>
      <c r="J99" s="476">
        <f t="shared" ref="J99:J130" si="15">+I99-H99</f>
        <v>0</v>
      </c>
      <c r="K99" s="476"/>
      <c r="L99" s="475">
        <f>+H99</f>
        <v>15225.00875134001</v>
      </c>
      <c r="M99" s="475">
        <f t="shared" ref="M99" si="16">IF(L99&lt;&gt;0,+H99-L99,0)</f>
        <v>0</v>
      </c>
      <c r="N99" s="475">
        <f>+I99</f>
        <v>15225.00875134001</v>
      </c>
      <c r="O99" s="475">
        <f t="shared" ref="O99" si="17">IF(N99&lt;&gt;0,+I99-N99,0)</f>
        <v>0</v>
      </c>
      <c r="P99" s="475">
        <f t="shared" ref="P99" si="18">+O99-M99</f>
        <v>0</v>
      </c>
    </row>
    <row r="100" spans="1:16" ht="12.5">
      <c r="B100" s="160" t="str">
        <f>IF(D100=F99,"","IU")</f>
        <v/>
      </c>
      <c r="C100" s="470">
        <f>IF(D93="","-",+C99+1)</f>
        <v>2019</v>
      </c>
      <c r="D100" s="582">
        <v>241163</v>
      </c>
      <c r="E100" s="583">
        <v>5951</v>
      </c>
      <c r="F100" s="584">
        <v>235212</v>
      </c>
      <c r="G100" s="584">
        <v>238187.5</v>
      </c>
      <c r="H100" s="603">
        <v>30511.472087080136</v>
      </c>
      <c r="I100" s="604">
        <v>30511.472087080136</v>
      </c>
      <c r="J100" s="476">
        <f t="shared" si="15"/>
        <v>0</v>
      </c>
      <c r="K100" s="476"/>
      <c r="L100" s="474">
        <f>H100</f>
        <v>30511.472087080136</v>
      </c>
      <c r="M100" s="347">
        <f>IF(L100&lt;&gt;0,+H100-L100,0)</f>
        <v>0</v>
      </c>
      <c r="N100" s="474">
        <f>I100</f>
        <v>30511.472087080136</v>
      </c>
      <c r="O100" s="476">
        <f t="shared" ref="O100:O130" si="19">IF(N100&lt;&gt;0,+I100-N100,0)</f>
        <v>0</v>
      </c>
      <c r="P100" s="476">
        <f t="shared" ref="P100:P130" si="20">+O100-M100</f>
        <v>0</v>
      </c>
    </row>
    <row r="101" spans="1:16" ht="12.5">
      <c r="B101" s="160" t="str">
        <f t="shared" ref="B101:B154" si="21">IF(D101=F100,"","IU")</f>
        <v/>
      </c>
      <c r="C101" s="470">
        <f>IF(D93="","-",+C100+1)</f>
        <v>2020</v>
      </c>
      <c r="D101" s="582">
        <v>235212</v>
      </c>
      <c r="E101" s="583">
        <v>5674</v>
      </c>
      <c r="F101" s="584">
        <v>229538</v>
      </c>
      <c r="G101" s="584">
        <v>232375</v>
      </c>
      <c r="H101" s="603">
        <v>32466.198637614907</v>
      </c>
      <c r="I101" s="604">
        <v>32466.198637614907</v>
      </c>
      <c r="J101" s="476">
        <f t="shared" si="15"/>
        <v>0</v>
      </c>
      <c r="K101" s="476"/>
      <c r="L101" s="474">
        <f>H101</f>
        <v>32466.198637614907</v>
      </c>
      <c r="M101" s="347">
        <f>IF(L101&lt;&gt;0,+H101-L101,0)</f>
        <v>0</v>
      </c>
      <c r="N101" s="474">
        <f>I101</f>
        <v>32466.198637614907</v>
      </c>
      <c r="O101" s="476">
        <f t="shared" si="19"/>
        <v>0</v>
      </c>
      <c r="P101" s="476">
        <f t="shared" si="20"/>
        <v>0</v>
      </c>
    </row>
    <row r="102" spans="1:16" ht="12.5">
      <c r="B102" s="160" t="str">
        <f t="shared" si="21"/>
        <v/>
      </c>
      <c r="C102" s="470">
        <f>IF(D93="","-",+C101+1)</f>
        <v>2021</v>
      </c>
      <c r="D102" s="582">
        <v>229538</v>
      </c>
      <c r="E102" s="583">
        <v>5951</v>
      </c>
      <c r="F102" s="584">
        <v>223587</v>
      </c>
      <c r="G102" s="584">
        <v>226562.5</v>
      </c>
      <c r="H102" s="603">
        <v>31732.179671191017</v>
      </c>
      <c r="I102" s="604">
        <v>31732.179671191017</v>
      </c>
      <c r="J102" s="476">
        <f t="shared" si="15"/>
        <v>0</v>
      </c>
      <c r="K102" s="476"/>
      <c r="L102" s="474">
        <f>H102</f>
        <v>31732.179671191017</v>
      </c>
      <c r="M102" s="347">
        <f>IF(L102&lt;&gt;0,+H102-L102,0)</f>
        <v>0</v>
      </c>
      <c r="N102" s="474">
        <f>I102</f>
        <v>31732.179671191017</v>
      </c>
      <c r="O102" s="476">
        <f t="shared" si="19"/>
        <v>0</v>
      </c>
      <c r="P102" s="476">
        <f t="shared" si="20"/>
        <v>0</v>
      </c>
    </row>
    <row r="103" spans="1:16" ht="12.5">
      <c r="B103" s="160" t="str">
        <f t="shared" si="21"/>
        <v/>
      </c>
      <c r="C103" s="470">
        <f>IF(D93="","-",+C102+1)</f>
        <v>2022</v>
      </c>
      <c r="D103" s="582">
        <v>223587</v>
      </c>
      <c r="E103" s="583">
        <v>6256</v>
      </c>
      <c r="F103" s="584">
        <v>217331</v>
      </c>
      <c r="G103" s="584">
        <v>220459</v>
      </c>
      <c r="H103" s="603">
        <v>30546.757470312874</v>
      </c>
      <c r="I103" s="604">
        <v>30546.757470312874</v>
      </c>
      <c r="J103" s="476">
        <f t="shared" si="15"/>
        <v>0</v>
      </c>
      <c r="K103" s="476"/>
      <c r="L103" s="474">
        <f>H103</f>
        <v>30546.757470312874</v>
      </c>
      <c r="M103" s="347">
        <f>IF(L103&lt;&gt;0,+H103-L103,0)</f>
        <v>0</v>
      </c>
      <c r="N103" s="474">
        <f>I103</f>
        <v>30546.757470312874</v>
      </c>
      <c r="O103" s="476">
        <f t="shared" ref="O103" si="22">IF(N103&lt;&gt;0,+I103-N103,0)</f>
        <v>0</v>
      </c>
      <c r="P103" s="476">
        <f t="shared" ref="P103" si="23">+O103-M103</f>
        <v>0</v>
      </c>
    </row>
    <row r="104" spans="1:16" ht="12.5">
      <c r="B104" s="160" t="str">
        <f t="shared" si="21"/>
        <v/>
      </c>
      <c r="C104" s="470">
        <f>IF(D93="","-",+C103+1)</f>
        <v>2023</v>
      </c>
      <c r="D104" s="345">
        <f>IF(F103+SUM(E$99:E103)=D$92,F103,D$92-SUM(E$99:E103))</f>
        <v>217331</v>
      </c>
      <c r="E104" s="482">
        <f t="shared" ref="E104:E154" si="24">IF(+J$96&lt;F103,J$96,D104)</f>
        <v>6421</v>
      </c>
      <c r="F104" s="483">
        <f t="shared" ref="F104:F154" si="25">+D104-E104</f>
        <v>210910</v>
      </c>
      <c r="G104" s="483">
        <f t="shared" ref="G104:G154" si="26">+(F104+D104)/2</f>
        <v>214120.5</v>
      </c>
      <c r="H104" s="484">
        <f t="shared" ref="H104:H153" si="27">(D104+F104)/2*J$94+E104</f>
        <v>30879.353713761124</v>
      </c>
      <c r="I104" s="540">
        <f t="shared" ref="I104:I153" si="28">+J$95*G104+E104</f>
        <v>30879.353713761124</v>
      </c>
      <c r="J104" s="476">
        <f t="shared" si="15"/>
        <v>0</v>
      </c>
      <c r="K104" s="476"/>
      <c r="L104" s="485"/>
      <c r="M104" s="476">
        <f t="shared" ref="M104:M130" si="29">IF(L104&lt;&gt;0,+H104-L104,0)</f>
        <v>0</v>
      </c>
      <c r="N104" s="485"/>
      <c r="O104" s="476">
        <f t="shared" si="19"/>
        <v>0</v>
      </c>
      <c r="P104" s="476">
        <f t="shared" si="20"/>
        <v>0</v>
      </c>
    </row>
    <row r="105" spans="1:16" ht="12.5">
      <c r="B105" s="160" t="str">
        <f t="shared" si="21"/>
        <v/>
      </c>
      <c r="C105" s="470">
        <f>IF(D93="","-",+C104+1)</f>
        <v>2024</v>
      </c>
      <c r="D105" s="345">
        <f>IF(F104+SUM(E$99:E104)=D$92,F104,D$92-SUM(E$99:E104))</f>
        <v>210910</v>
      </c>
      <c r="E105" s="482">
        <f t="shared" si="24"/>
        <v>6421</v>
      </c>
      <c r="F105" s="483">
        <f t="shared" si="25"/>
        <v>204489</v>
      </c>
      <c r="G105" s="483">
        <f t="shared" si="26"/>
        <v>207699.5</v>
      </c>
      <c r="H105" s="484">
        <f t="shared" si="27"/>
        <v>30145.901806092032</v>
      </c>
      <c r="I105" s="540">
        <f t="shared" si="28"/>
        <v>30145.901806092032</v>
      </c>
      <c r="J105" s="476">
        <f t="shared" si="15"/>
        <v>0</v>
      </c>
      <c r="K105" s="476"/>
      <c r="L105" s="485"/>
      <c r="M105" s="476">
        <f t="shared" si="29"/>
        <v>0</v>
      </c>
      <c r="N105" s="485"/>
      <c r="O105" s="476">
        <f t="shared" si="19"/>
        <v>0</v>
      </c>
      <c r="P105" s="476">
        <f t="shared" si="20"/>
        <v>0</v>
      </c>
    </row>
    <row r="106" spans="1:16" ht="12.5">
      <c r="B106" s="160" t="str">
        <f t="shared" si="21"/>
        <v/>
      </c>
      <c r="C106" s="470">
        <f>IF(D93="","-",+C105+1)</f>
        <v>2025</v>
      </c>
      <c r="D106" s="345">
        <f>IF(F105+SUM(E$99:E105)=D$92,F105,D$92-SUM(E$99:E105))</f>
        <v>204489</v>
      </c>
      <c r="E106" s="482">
        <f t="shared" si="24"/>
        <v>6421</v>
      </c>
      <c r="F106" s="483">
        <f t="shared" si="25"/>
        <v>198068</v>
      </c>
      <c r="G106" s="483">
        <f t="shared" si="26"/>
        <v>201278.5</v>
      </c>
      <c r="H106" s="484">
        <f t="shared" si="27"/>
        <v>29412.449898422939</v>
      </c>
      <c r="I106" s="540">
        <f t="shared" si="28"/>
        <v>29412.449898422939</v>
      </c>
      <c r="J106" s="476">
        <f t="shared" si="15"/>
        <v>0</v>
      </c>
      <c r="K106" s="476"/>
      <c r="L106" s="485"/>
      <c r="M106" s="476">
        <f t="shared" si="29"/>
        <v>0</v>
      </c>
      <c r="N106" s="485"/>
      <c r="O106" s="476">
        <f t="shared" si="19"/>
        <v>0</v>
      </c>
      <c r="P106" s="476">
        <f t="shared" si="20"/>
        <v>0</v>
      </c>
    </row>
    <row r="107" spans="1:16" ht="12.5">
      <c r="B107" s="160" t="str">
        <f t="shared" si="21"/>
        <v/>
      </c>
      <c r="C107" s="470">
        <f>IF(D93="","-",+C106+1)</f>
        <v>2026</v>
      </c>
      <c r="D107" s="345">
        <f>IF(F106+SUM(E$99:E106)=D$92,F106,D$92-SUM(E$99:E106))</f>
        <v>198068</v>
      </c>
      <c r="E107" s="482">
        <f t="shared" si="24"/>
        <v>6421</v>
      </c>
      <c r="F107" s="483">
        <f t="shared" si="25"/>
        <v>191647</v>
      </c>
      <c r="G107" s="483">
        <f t="shared" si="26"/>
        <v>194857.5</v>
      </c>
      <c r="H107" s="484">
        <f t="shared" si="27"/>
        <v>28678.997990753844</v>
      </c>
      <c r="I107" s="540">
        <f t="shared" si="28"/>
        <v>28678.997990753844</v>
      </c>
      <c r="J107" s="476">
        <f t="shared" si="15"/>
        <v>0</v>
      </c>
      <c r="K107" s="476"/>
      <c r="L107" s="485"/>
      <c r="M107" s="476">
        <f t="shared" si="29"/>
        <v>0</v>
      </c>
      <c r="N107" s="485"/>
      <c r="O107" s="476">
        <f t="shared" si="19"/>
        <v>0</v>
      </c>
      <c r="P107" s="476">
        <f t="shared" si="20"/>
        <v>0</v>
      </c>
    </row>
    <row r="108" spans="1:16" ht="12.5">
      <c r="B108" s="160" t="str">
        <f t="shared" si="21"/>
        <v/>
      </c>
      <c r="C108" s="470">
        <f>IF(D93="","-",+C107+1)</f>
        <v>2027</v>
      </c>
      <c r="D108" s="345">
        <f>IF(F107+SUM(E$99:E107)=D$92,F107,D$92-SUM(E$99:E107))</f>
        <v>191647</v>
      </c>
      <c r="E108" s="482">
        <f t="shared" si="24"/>
        <v>6421</v>
      </c>
      <c r="F108" s="483">
        <f t="shared" si="25"/>
        <v>185226</v>
      </c>
      <c r="G108" s="483">
        <f t="shared" si="26"/>
        <v>188436.5</v>
      </c>
      <c r="H108" s="484">
        <f t="shared" si="27"/>
        <v>27945.546083084751</v>
      </c>
      <c r="I108" s="540">
        <f t="shared" si="28"/>
        <v>27945.546083084751</v>
      </c>
      <c r="J108" s="476">
        <f t="shared" si="15"/>
        <v>0</v>
      </c>
      <c r="K108" s="476"/>
      <c r="L108" s="485"/>
      <c r="M108" s="476">
        <f t="shared" si="29"/>
        <v>0</v>
      </c>
      <c r="N108" s="485"/>
      <c r="O108" s="476">
        <f t="shared" si="19"/>
        <v>0</v>
      </c>
      <c r="P108" s="476">
        <f t="shared" si="20"/>
        <v>0</v>
      </c>
    </row>
    <row r="109" spans="1:16" ht="12.5">
      <c r="B109" s="160" t="str">
        <f t="shared" si="21"/>
        <v/>
      </c>
      <c r="C109" s="470">
        <f>IF(D93="","-",+C108+1)</f>
        <v>2028</v>
      </c>
      <c r="D109" s="345">
        <f>IF(F108+SUM(E$99:E108)=D$92,F108,D$92-SUM(E$99:E108))</f>
        <v>185226</v>
      </c>
      <c r="E109" s="482">
        <f t="shared" si="24"/>
        <v>6421</v>
      </c>
      <c r="F109" s="483">
        <f t="shared" si="25"/>
        <v>178805</v>
      </c>
      <c r="G109" s="483">
        <f t="shared" si="26"/>
        <v>182015.5</v>
      </c>
      <c r="H109" s="484">
        <f t="shared" si="27"/>
        <v>27212.094175415656</v>
      </c>
      <c r="I109" s="540">
        <f t="shared" si="28"/>
        <v>27212.094175415656</v>
      </c>
      <c r="J109" s="476">
        <f t="shared" si="15"/>
        <v>0</v>
      </c>
      <c r="K109" s="476"/>
      <c r="L109" s="485"/>
      <c r="M109" s="476">
        <f t="shared" si="29"/>
        <v>0</v>
      </c>
      <c r="N109" s="485"/>
      <c r="O109" s="476">
        <f t="shared" si="19"/>
        <v>0</v>
      </c>
      <c r="P109" s="476">
        <f t="shared" si="20"/>
        <v>0</v>
      </c>
    </row>
    <row r="110" spans="1:16" ht="12.5">
      <c r="B110" s="160" t="str">
        <f t="shared" si="21"/>
        <v/>
      </c>
      <c r="C110" s="470">
        <f>IF(D93="","-",+C109+1)</f>
        <v>2029</v>
      </c>
      <c r="D110" s="345">
        <f>IF(F109+SUM(E$99:E109)=D$92,F109,D$92-SUM(E$99:E109))</f>
        <v>178805</v>
      </c>
      <c r="E110" s="482">
        <f t="shared" si="24"/>
        <v>6421</v>
      </c>
      <c r="F110" s="483">
        <f t="shared" si="25"/>
        <v>172384</v>
      </c>
      <c r="G110" s="483">
        <f t="shared" si="26"/>
        <v>175594.5</v>
      </c>
      <c r="H110" s="484">
        <f t="shared" si="27"/>
        <v>26478.642267746563</v>
      </c>
      <c r="I110" s="540">
        <f t="shared" si="28"/>
        <v>26478.642267746563</v>
      </c>
      <c r="J110" s="476">
        <f t="shared" si="15"/>
        <v>0</v>
      </c>
      <c r="K110" s="476"/>
      <c r="L110" s="485"/>
      <c r="M110" s="476">
        <f t="shared" si="29"/>
        <v>0</v>
      </c>
      <c r="N110" s="485"/>
      <c r="O110" s="476">
        <f t="shared" si="19"/>
        <v>0</v>
      </c>
      <c r="P110" s="476">
        <f t="shared" si="20"/>
        <v>0</v>
      </c>
    </row>
    <row r="111" spans="1:16" ht="12.5">
      <c r="B111" s="160" t="str">
        <f t="shared" si="21"/>
        <v/>
      </c>
      <c r="C111" s="470">
        <f>IF(D93="","-",+C110+1)</f>
        <v>2030</v>
      </c>
      <c r="D111" s="345">
        <f>IF(F110+SUM(E$99:E110)=D$92,F110,D$92-SUM(E$99:E110))</f>
        <v>172384</v>
      </c>
      <c r="E111" s="482">
        <f t="shared" si="24"/>
        <v>6421</v>
      </c>
      <c r="F111" s="483">
        <f t="shared" si="25"/>
        <v>165963</v>
      </c>
      <c r="G111" s="483">
        <f t="shared" si="26"/>
        <v>169173.5</v>
      </c>
      <c r="H111" s="484">
        <f t="shared" si="27"/>
        <v>25745.190360077468</v>
      </c>
      <c r="I111" s="540">
        <f t="shared" si="28"/>
        <v>25745.190360077468</v>
      </c>
      <c r="J111" s="476">
        <f t="shared" si="15"/>
        <v>0</v>
      </c>
      <c r="K111" s="476"/>
      <c r="L111" s="485"/>
      <c r="M111" s="476">
        <f t="shared" si="29"/>
        <v>0</v>
      </c>
      <c r="N111" s="485"/>
      <c r="O111" s="476">
        <f t="shared" si="19"/>
        <v>0</v>
      </c>
      <c r="P111" s="476">
        <f t="shared" si="20"/>
        <v>0</v>
      </c>
    </row>
    <row r="112" spans="1:16" ht="12.5">
      <c r="B112" s="160" t="str">
        <f t="shared" si="21"/>
        <v/>
      </c>
      <c r="C112" s="470">
        <f>IF(D93="","-",+C111+1)</f>
        <v>2031</v>
      </c>
      <c r="D112" s="345">
        <f>IF(F111+SUM(E$99:E111)=D$92,F111,D$92-SUM(E$99:E111))</f>
        <v>165963</v>
      </c>
      <c r="E112" s="482">
        <f t="shared" si="24"/>
        <v>6421</v>
      </c>
      <c r="F112" s="483">
        <f t="shared" si="25"/>
        <v>159542</v>
      </c>
      <c r="G112" s="483">
        <f t="shared" si="26"/>
        <v>162752.5</v>
      </c>
      <c r="H112" s="484">
        <f t="shared" si="27"/>
        <v>25011.738452408375</v>
      </c>
      <c r="I112" s="540">
        <f t="shared" si="28"/>
        <v>25011.738452408375</v>
      </c>
      <c r="J112" s="476">
        <f t="shared" si="15"/>
        <v>0</v>
      </c>
      <c r="K112" s="476"/>
      <c r="L112" s="485"/>
      <c r="M112" s="476">
        <f t="shared" si="29"/>
        <v>0</v>
      </c>
      <c r="N112" s="485"/>
      <c r="O112" s="476">
        <f t="shared" si="19"/>
        <v>0</v>
      </c>
      <c r="P112" s="476">
        <f t="shared" si="20"/>
        <v>0</v>
      </c>
    </row>
    <row r="113" spans="2:16" ht="12.5">
      <c r="B113" s="160" t="str">
        <f t="shared" si="21"/>
        <v/>
      </c>
      <c r="C113" s="470">
        <f>IF(D93="","-",+C112+1)</f>
        <v>2032</v>
      </c>
      <c r="D113" s="345">
        <f>IF(F112+SUM(E$99:E112)=D$92,F112,D$92-SUM(E$99:E112))</f>
        <v>159542</v>
      </c>
      <c r="E113" s="482">
        <f t="shared" si="24"/>
        <v>6421</v>
      </c>
      <c r="F113" s="483">
        <f t="shared" si="25"/>
        <v>153121</v>
      </c>
      <c r="G113" s="483">
        <f t="shared" si="26"/>
        <v>156331.5</v>
      </c>
      <c r="H113" s="484">
        <f t="shared" si="27"/>
        <v>24278.286544739283</v>
      </c>
      <c r="I113" s="540">
        <f t="shared" si="28"/>
        <v>24278.286544739283</v>
      </c>
      <c r="J113" s="476">
        <f t="shared" si="15"/>
        <v>0</v>
      </c>
      <c r="K113" s="476"/>
      <c r="L113" s="485"/>
      <c r="M113" s="476">
        <f t="shared" si="29"/>
        <v>0</v>
      </c>
      <c r="N113" s="485"/>
      <c r="O113" s="476">
        <f t="shared" si="19"/>
        <v>0</v>
      </c>
      <c r="P113" s="476">
        <f t="shared" si="20"/>
        <v>0</v>
      </c>
    </row>
    <row r="114" spans="2:16" ht="12.5">
      <c r="B114" s="160" t="str">
        <f t="shared" si="21"/>
        <v/>
      </c>
      <c r="C114" s="470">
        <f>IF(D93="","-",+C113+1)</f>
        <v>2033</v>
      </c>
      <c r="D114" s="345">
        <f>IF(F113+SUM(E$99:E113)=D$92,F113,D$92-SUM(E$99:E113))</f>
        <v>153121</v>
      </c>
      <c r="E114" s="482">
        <f t="shared" si="24"/>
        <v>6421</v>
      </c>
      <c r="F114" s="483">
        <f t="shared" si="25"/>
        <v>146700</v>
      </c>
      <c r="G114" s="483">
        <f t="shared" si="26"/>
        <v>149910.5</v>
      </c>
      <c r="H114" s="484">
        <f t="shared" si="27"/>
        <v>23544.834637070187</v>
      </c>
      <c r="I114" s="540">
        <f t="shared" si="28"/>
        <v>23544.834637070187</v>
      </c>
      <c r="J114" s="476">
        <f t="shared" si="15"/>
        <v>0</v>
      </c>
      <c r="K114" s="476"/>
      <c r="L114" s="485"/>
      <c r="M114" s="476">
        <f t="shared" si="29"/>
        <v>0</v>
      </c>
      <c r="N114" s="485"/>
      <c r="O114" s="476">
        <f t="shared" si="19"/>
        <v>0</v>
      </c>
      <c r="P114" s="476">
        <f t="shared" si="20"/>
        <v>0</v>
      </c>
    </row>
    <row r="115" spans="2:16" ht="12.5">
      <c r="B115" s="160" t="str">
        <f t="shared" si="21"/>
        <v/>
      </c>
      <c r="C115" s="470">
        <f>IF(D93="","-",+C114+1)</f>
        <v>2034</v>
      </c>
      <c r="D115" s="345">
        <f>IF(F114+SUM(E$99:E114)=D$92,F114,D$92-SUM(E$99:E114))</f>
        <v>146700</v>
      </c>
      <c r="E115" s="482">
        <f t="shared" si="24"/>
        <v>6421</v>
      </c>
      <c r="F115" s="483">
        <f t="shared" si="25"/>
        <v>140279</v>
      </c>
      <c r="G115" s="483">
        <f t="shared" si="26"/>
        <v>143489.5</v>
      </c>
      <c r="H115" s="484">
        <f t="shared" si="27"/>
        <v>22811.382729401095</v>
      </c>
      <c r="I115" s="540">
        <f t="shared" si="28"/>
        <v>22811.382729401095</v>
      </c>
      <c r="J115" s="476">
        <f t="shared" si="15"/>
        <v>0</v>
      </c>
      <c r="K115" s="476"/>
      <c r="L115" s="485"/>
      <c r="M115" s="476">
        <f t="shared" si="29"/>
        <v>0</v>
      </c>
      <c r="N115" s="485"/>
      <c r="O115" s="476">
        <f t="shared" si="19"/>
        <v>0</v>
      </c>
      <c r="P115" s="476">
        <f t="shared" si="20"/>
        <v>0</v>
      </c>
    </row>
    <row r="116" spans="2:16" ht="12.5">
      <c r="B116" s="160" t="str">
        <f t="shared" si="21"/>
        <v/>
      </c>
      <c r="C116" s="470">
        <f>IF(D93="","-",+C115+1)</f>
        <v>2035</v>
      </c>
      <c r="D116" s="345">
        <f>IF(F115+SUM(E$99:E115)=D$92,F115,D$92-SUM(E$99:E115))</f>
        <v>140279</v>
      </c>
      <c r="E116" s="482">
        <f t="shared" si="24"/>
        <v>6421</v>
      </c>
      <c r="F116" s="483">
        <f t="shared" si="25"/>
        <v>133858</v>
      </c>
      <c r="G116" s="483">
        <f t="shared" si="26"/>
        <v>137068.5</v>
      </c>
      <c r="H116" s="484">
        <f t="shared" si="27"/>
        <v>22077.930821731999</v>
      </c>
      <c r="I116" s="540">
        <f t="shared" si="28"/>
        <v>22077.930821731999</v>
      </c>
      <c r="J116" s="476">
        <f t="shared" si="15"/>
        <v>0</v>
      </c>
      <c r="K116" s="476"/>
      <c r="L116" s="485"/>
      <c r="M116" s="476">
        <f t="shared" si="29"/>
        <v>0</v>
      </c>
      <c r="N116" s="485"/>
      <c r="O116" s="476">
        <f t="shared" si="19"/>
        <v>0</v>
      </c>
      <c r="P116" s="476">
        <f t="shared" si="20"/>
        <v>0</v>
      </c>
    </row>
    <row r="117" spans="2:16" ht="12.5">
      <c r="B117" s="160" t="str">
        <f t="shared" si="21"/>
        <v/>
      </c>
      <c r="C117" s="470">
        <f>IF(D93="","-",+C116+1)</f>
        <v>2036</v>
      </c>
      <c r="D117" s="345">
        <f>IF(F116+SUM(E$99:E116)=D$92,F116,D$92-SUM(E$99:E116))</f>
        <v>133858</v>
      </c>
      <c r="E117" s="482">
        <f t="shared" si="24"/>
        <v>6421</v>
      </c>
      <c r="F117" s="483">
        <f t="shared" si="25"/>
        <v>127437</v>
      </c>
      <c r="G117" s="483">
        <f t="shared" si="26"/>
        <v>130647.5</v>
      </c>
      <c r="H117" s="484">
        <f t="shared" si="27"/>
        <v>21344.478914062907</v>
      </c>
      <c r="I117" s="540">
        <f t="shared" si="28"/>
        <v>21344.478914062907</v>
      </c>
      <c r="J117" s="476">
        <f t="shared" si="15"/>
        <v>0</v>
      </c>
      <c r="K117" s="476"/>
      <c r="L117" s="485"/>
      <c r="M117" s="476">
        <f t="shared" si="29"/>
        <v>0</v>
      </c>
      <c r="N117" s="485"/>
      <c r="O117" s="476">
        <f t="shared" si="19"/>
        <v>0</v>
      </c>
      <c r="P117" s="476">
        <f t="shared" si="20"/>
        <v>0</v>
      </c>
    </row>
    <row r="118" spans="2:16" ht="12.5">
      <c r="B118" s="160" t="str">
        <f t="shared" si="21"/>
        <v/>
      </c>
      <c r="C118" s="470">
        <f>IF(D93="","-",+C117+1)</f>
        <v>2037</v>
      </c>
      <c r="D118" s="345">
        <f>IF(F117+SUM(E$99:E117)=D$92,F117,D$92-SUM(E$99:E117))</f>
        <v>127437</v>
      </c>
      <c r="E118" s="482">
        <f t="shared" si="24"/>
        <v>6421</v>
      </c>
      <c r="F118" s="483">
        <f t="shared" si="25"/>
        <v>121016</v>
      </c>
      <c r="G118" s="483">
        <f t="shared" si="26"/>
        <v>124226.5</v>
      </c>
      <c r="H118" s="484">
        <f t="shared" si="27"/>
        <v>20611.027006393815</v>
      </c>
      <c r="I118" s="540">
        <f t="shared" si="28"/>
        <v>20611.027006393815</v>
      </c>
      <c r="J118" s="476">
        <f t="shared" si="15"/>
        <v>0</v>
      </c>
      <c r="K118" s="476"/>
      <c r="L118" s="485"/>
      <c r="M118" s="476">
        <f t="shared" si="29"/>
        <v>0</v>
      </c>
      <c r="N118" s="485"/>
      <c r="O118" s="476">
        <f t="shared" si="19"/>
        <v>0</v>
      </c>
      <c r="P118" s="476">
        <f t="shared" si="20"/>
        <v>0</v>
      </c>
    </row>
    <row r="119" spans="2:16" ht="12.5">
      <c r="B119" s="160" t="str">
        <f t="shared" si="21"/>
        <v/>
      </c>
      <c r="C119" s="470">
        <f>IF(D93="","-",+C118+1)</f>
        <v>2038</v>
      </c>
      <c r="D119" s="345">
        <f>IF(F118+SUM(E$99:E118)=D$92,F118,D$92-SUM(E$99:E118))</f>
        <v>121016</v>
      </c>
      <c r="E119" s="482">
        <f t="shared" si="24"/>
        <v>6421</v>
      </c>
      <c r="F119" s="483">
        <f t="shared" si="25"/>
        <v>114595</v>
      </c>
      <c r="G119" s="483">
        <f t="shared" si="26"/>
        <v>117805.5</v>
      </c>
      <c r="H119" s="484">
        <f t="shared" si="27"/>
        <v>19877.575098724719</v>
      </c>
      <c r="I119" s="540">
        <f t="shared" si="28"/>
        <v>19877.575098724719</v>
      </c>
      <c r="J119" s="476">
        <f t="shared" si="15"/>
        <v>0</v>
      </c>
      <c r="K119" s="476"/>
      <c r="L119" s="485"/>
      <c r="M119" s="476">
        <f t="shared" si="29"/>
        <v>0</v>
      </c>
      <c r="N119" s="485"/>
      <c r="O119" s="476">
        <f t="shared" si="19"/>
        <v>0</v>
      </c>
      <c r="P119" s="476">
        <f t="shared" si="20"/>
        <v>0</v>
      </c>
    </row>
    <row r="120" spans="2:16" ht="12.5">
      <c r="B120" s="160" t="str">
        <f t="shared" si="21"/>
        <v/>
      </c>
      <c r="C120" s="470">
        <f>IF(D93="","-",+C119+1)</f>
        <v>2039</v>
      </c>
      <c r="D120" s="345">
        <f>IF(F119+SUM(E$99:E119)=D$92,F119,D$92-SUM(E$99:E119))</f>
        <v>114595</v>
      </c>
      <c r="E120" s="482">
        <f t="shared" si="24"/>
        <v>6421</v>
      </c>
      <c r="F120" s="483">
        <f t="shared" si="25"/>
        <v>108174</v>
      </c>
      <c r="G120" s="483">
        <f t="shared" si="26"/>
        <v>111384.5</v>
      </c>
      <c r="H120" s="484">
        <f t="shared" si="27"/>
        <v>19144.123191055623</v>
      </c>
      <c r="I120" s="540">
        <f t="shared" si="28"/>
        <v>19144.123191055623</v>
      </c>
      <c r="J120" s="476">
        <f t="shared" si="15"/>
        <v>0</v>
      </c>
      <c r="K120" s="476"/>
      <c r="L120" s="485"/>
      <c r="M120" s="476">
        <f t="shared" si="29"/>
        <v>0</v>
      </c>
      <c r="N120" s="485"/>
      <c r="O120" s="476">
        <f t="shared" si="19"/>
        <v>0</v>
      </c>
      <c r="P120" s="476">
        <f t="shared" si="20"/>
        <v>0</v>
      </c>
    </row>
    <row r="121" spans="2:16" ht="12.5">
      <c r="B121" s="160" t="str">
        <f t="shared" si="21"/>
        <v/>
      </c>
      <c r="C121" s="470">
        <f>IF(D93="","-",+C120+1)</f>
        <v>2040</v>
      </c>
      <c r="D121" s="345">
        <f>IF(F120+SUM(E$99:E120)=D$92,F120,D$92-SUM(E$99:E120))</f>
        <v>108174</v>
      </c>
      <c r="E121" s="482">
        <f t="shared" si="24"/>
        <v>6421</v>
      </c>
      <c r="F121" s="483">
        <f t="shared" si="25"/>
        <v>101753</v>
      </c>
      <c r="G121" s="483">
        <f t="shared" si="26"/>
        <v>104963.5</v>
      </c>
      <c r="H121" s="484">
        <f t="shared" si="27"/>
        <v>18410.671283386531</v>
      </c>
      <c r="I121" s="540">
        <f t="shared" si="28"/>
        <v>18410.671283386531</v>
      </c>
      <c r="J121" s="476">
        <f t="shared" si="15"/>
        <v>0</v>
      </c>
      <c r="K121" s="476"/>
      <c r="L121" s="485"/>
      <c r="M121" s="476">
        <f t="shared" si="29"/>
        <v>0</v>
      </c>
      <c r="N121" s="485"/>
      <c r="O121" s="476">
        <f t="shared" si="19"/>
        <v>0</v>
      </c>
      <c r="P121" s="476">
        <f t="shared" si="20"/>
        <v>0</v>
      </c>
    </row>
    <row r="122" spans="2:16" ht="12.5">
      <c r="B122" s="160" t="str">
        <f t="shared" si="21"/>
        <v/>
      </c>
      <c r="C122" s="470">
        <f>IF(D93="","-",+C121+1)</f>
        <v>2041</v>
      </c>
      <c r="D122" s="345">
        <f>IF(F121+SUM(E$99:E121)=D$92,F121,D$92-SUM(E$99:E121))</f>
        <v>101753</v>
      </c>
      <c r="E122" s="482">
        <f t="shared" si="24"/>
        <v>6421</v>
      </c>
      <c r="F122" s="483">
        <f t="shared" si="25"/>
        <v>95332</v>
      </c>
      <c r="G122" s="483">
        <f t="shared" si="26"/>
        <v>98542.5</v>
      </c>
      <c r="H122" s="484">
        <f t="shared" si="27"/>
        <v>17677.219375717439</v>
      </c>
      <c r="I122" s="540">
        <f t="shared" si="28"/>
        <v>17677.219375717439</v>
      </c>
      <c r="J122" s="476">
        <f t="shared" si="15"/>
        <v>0</v>
      </c>
      <c r="K122" s="476"/>
      <c r="L122" s="485"/>
      <c r="M122" s="476">
        <f t="shared" si="29"/>
        <v>0</v>
      </c>
      <c r="N122" s="485"/>
      <c r="O122" s="476">
        <f t="shared" si="19"/>
        <v>0</v>
      </c>
      <c r="P122" s="476">
        <f t="shared" si="20"/>
        <v>0</v>
      </c>
    </row>
    <row r="123" spans="2:16" ht="12.5">
      <c r="B123" s="160" t="str">
        <f t="shared" si="21"/>
        <v/>
      </c>
      <c r="C123" s="470">
        <f>IF(D93="","-",+C122+1)</f>
        <v>2042</v>
      </c>
      <c r="D123" s="345">
        <f>IF(F122+SUM(E$99:E122)=D$92,F122,D$92-SUM(E$99:E122))</f>
        <v>95332</v>
      </c>
      <c r="E123" s="482">
        <f t="shared" si="24"/>
        <v>6421</v>
      </c>
      <c r="F123" s="483">
        <f t="shared" si="25"/>
        <v>88911</v>
      </c>
      <c r="G123" s="483">
        <f t="shared" si="26"/>
        <v>92121.5</v>
      </c>
      <c r="H123" s="484">
        <f t="shared" si="27"/>
        <v>16943.767468048347</v>
      </c>
      <c r="I123" s="540">
        <f t="shared" si="28"/>
        <v>16943.767468048347</v>
      </c>
      <c r="J123" s="476">
        <f t="shared" si="15"/>
        <v>0</v>
      </c>
      <c r="K123" s="476"/>
      <c r="L123" s="485"/>
      <c r="M123" s="476">
        <f t="shared" si="29"/>
        <v>0</v>
      </c>
      <c r="N123" s="485"/>
      <c r="O123" s="476">
        <f t="shared" si="19"/>
        <v>0</v>
      </c>
      <c r="P123" s="476">
        <f t="shared" si="20"/>
        <v>0</v>
      </c>
    </row>
    <row r="124" spans="2:16" ht="12.5">
      <c r="B124" s="160" t="str">
        <f t="shared" si="21"/>
        <v/>
      </c>
      <c r="C124" s="470">
        <f>IF(D93="","-",+C123+1)</f>
        <v>2043</v>
      </c>
      <c r="D124" s="345">
        <f>IF(F123+SUM(E$99:E123)=D$92,F123,D$92-SUM(E$99:E123))</f>
        <v>88911</v>
      </c>
      <c r="E124" s="482">
        <f t="shared" si="24"/>
        <v>6421</v>
      </c>
      <c r="F124" s="483">
        <f t="shared" si="25"/>
        <v>82490</v>
      </c>
      <c r="G124" s="483">
        <f t="shared" si="26"/>
        <v>85700.5</v>
      </c>
      <c r="H124" s="484">
        <f t="shared" si="27"/>
        <v>16210.315560379251</v>
      </c>
      <c r="I124" s="540">
        <f t="shared" si="28"/>
        <v>16210.315560379251</v>
      </c>
      <c r="J124" s="476">
        <f t="shared" si="15"/>
        <v>0</v>
      </c>
      <c r="K124" s="476"/>
      <c r="L124" s="485"/>
      <c r="M124" s="476">
        <f t="shared" si="29"/>
        <v>0</v>
      </c>
      <c r="N124" s="485"/>
      <c r="O124" s="476">
        <f t="shared" si="19"/>
        <v>0</v>
      </c>
      <c r="P124" s="476">
        <f t="shared" si="20"/>
        <v>0</v>
      </c>
    </row>
    <row r="125" spans="2:16" ht="12.5">
      <c r="B125" s="160" t="str">
        <f t="shared" si="21"/>
        <v/>
      </c>
      <c r="C125" s="470">
        <f>IF(D93="","-",+C124+1)</f>
        <v>2044</v>
      </c>
      <c r="D125" s="345">
        <f>IF(F124+SUM(E$99:E124)=D$92,F124,D$92-SUM(E$99:E124))</f>
        <v>82490</v>
      </c>
      <c r="E125" s="482">
        <f t="shared" si="24"/>
        <v>6421</v>
      </c>
      <c r="F125" s="483">
        <f t="shared" si="25"/>
        <v>76069</v>
      </c>
      <c r="G125" s="483">
        <f t="shared" si="26"/>
        <v>79279.5</v>
      </c>
      <c r="H125" s="484">
        <f t="shared" si="27"/>
        <v>15476.863652710157</v>
      </c>
      <c r="I125" s="540">
        <f t="shared" si="28"/>
        <v>15476.863652710157</v>
      </c>
      <c r="J125" s="476">
        <f t="shared" si="15"/>
        <v>0</v>
      </c>
      <c r="K125" s="476"/>
      <c r="L125" s="485"/>
      <c r="M125" s="476">
        <f t="shared" si="29"/>
        <v>0</v>
      </c>
      <c r="N125" s="485"/>
      <c r="O125" s="476">
        <f t="shared" si="19"/>
        <v>0</v>
      </c>
      <c r="P125" s="476">
        <f t="shared" si="20"/>
        <v>0</v>
      </c>
    </row>
    <row r="126" spans="2:16" ht="12.5">
      <c r="B126" s="160" t="str">
        <f t="shared" si="21"/>
        <v/>
      </c>
      <c r="C126" s="470">
        <f>IF(D93="","-",+C125+1)</f>
        <v>2045</v>
      </c>
      <c r="D126" s="345">
        <f>IF(F125+SUM(E$99:E125)=D$92,F125,D$92-SUM(E$99:E125))</f>
        <v>76069</v>
      </c>
      <c r="E126" s="482">
        <f t="shared" si="24"/>
        <v>6421</v>
      </c>
      <c r="F126" s="483">
        <f t="shared" si="25"/>
        <v>69648</v>
      </c>
      <c r="G126" s="483">
        <f t="shared" si="26"/>
        <v>72858.5</v>
      </c>
      <c r="H126" s="484">
        <f t="shared" si="27"/>
        <v>14743.411745041063</v>
      </c>
      <c r="I126" s="540">
        <f t="shared" si="28"/>
        <v>14743.411745041063</v>
      </c>
      <c r="J126" s="476">
        <f t="shared" si="15"/>
        <v>0</v>
      </c>
      <c r="K126" s="476"/>
      <c r="L126" s="485"/>
      <c r="M126" s="476">
        <f t="shared" si="29"/>
        <v>0</v>
      </c>
      <c r="N126" s="485"/>
      <c r="O126" s="476">
        <f t="shared" si="19"/>
        <v>0</v>
      </c>
      <c r="P126" s="476">
        <f t="shared" si="20"/>
        <v>0</v>
      </c>
    </row>
    <row r="127" spans="2:16" ht="12.5">
      <c r="B127" s="160" t="str">
        <f t="shared" si="21"/>
        <v/>
      </c>
      <c r="C127" s="470">
        <f>IF(D93="","-",+C126+1)</f>
        <v>2046</v>
      </c>
      <c r="D127" s="345">
        <f>IF(F126+SUM(E$99:E126)=D$92,F126,D$92-SUM(E$99:E126))</f>
        <v>69648</v>
      </c>
      <c r="E127" s="482">
        <f t="shared" si="24"/>
        <v>6421</v>
      </c>
      <c r="F127" s="483">
        <f t="shared" si="25"/>
        <v>63227</v>
      </c>
      <c r="G127" s="483">
        <f t="shared" si="26"/>
        <v>66437.5</v>
      </c>
      <c r="H127" s="484">
        <f t="shared" si="27"/>
        <v>14009.959837371969</v>
      </c>
      <c r="I127" s="540">
        <f t="shared" si="28"/>
        <v>14009.959837371969</v>
      </c>
      <c r="J127" s="476">
        <f t="shared" si="15"/>
        <v>0</v>
      </c>
      <c r="K127" s="476"/>
      <c r="L127" s="485"/>
      <c r="M127" s="476">
        <f t="shared" si="29"/>
        <v>0</v>
      </c>
      <c r="N127" s="485"/>
      <c r="O127" s="476">
        <f t="shared" si="19"/>
        <v>0</v>
      </c>
      <c r="P127" s="476">
        <f t="shared" si="20"/>
        <v>0</v>
      </c>
    </row>
    <row r="128" spans="2:16" ht="12.5">
      <c r="B128" s="160" t="str">
        <f t="shared" si="21"/>
        <v/>
      </c>
      <c r="C128" s="470">
        <f>IF(D93="","-",+C127+1)</f>
        <v>2047</v>
      </c>
      <c r="D128" s="345">
        <f>IF(F127+SUM(E$99:E127)=D$92,F127,D$92-SUM(E$99:E127))</f>
        <v>63227</v>
      </c>
      <c r="E128" s="482">
        <f t="shared" si="24"/>
        <v>6421</v>
      </c>
      <c r="F128" s="483">
        <f t="shared" si="25"/>
        <v>56806</v>
      </c>
      <c r="G128" s="483">
        <f t="shared" si="26"/>
        <v>60016.5</v>
      </c>
      <c r="H128" s="484">
        <f t="shared" si="27"/>
        <v>13276.507929702875</v>
      </c>
      <c r="I128" s="540">
        <f t="shared" si="28"/>
        <v>13276.507929702875</v>
      </c>
      <c r="J128" s="476">
        <f t="shared" si="15"/>
        <v>0</v>
      </c>
      <c r="K128" s="476"/>
      <c r="L128" s="485"/>
      <c r="M128" s="476">
        <f t="shared" si="29"/>
        <v>0</v>
      </c>
      <c r="N128" s="485"/>
      <c r="O128" s="476">
        <f t="shared" si="19"/>
        <v>0</v>
      </c>
      <c r="P128" s="476">
        <f t="shared" si="20"/>
        <v>0</v>
      </c>
    </row>
    <row r="129" spans="2:16" ht="12.5">
      <c r="B129" s="160" t="str">
        <f t="shared" si="21"/>
        <v/>
      </c>
      <c r="C129" s="470">
        <f>IF(D93="","-",+C128+1)</f>
        <v>2048</v>
      </c>
      <c r="D129" s="345">
        <f>IF(F128+SUM(E$99:E128)=D$92,F128,D$92-SUM(E$99:E128))</f>
        <v>56806</v>
      </c>
      <c r="E129" s="482">
        <f t="shared" si="24"/>
        <v>6421</v>
      </c>
      <c r="F129" s="483">
        <f t="shared" si="25"/>
        <v>50385</v>
      </c>
      <c r="G129" s="483">
        <f t="shared" si="26"/>
        <v>53595.5</v>
      </c>
      <c r="H129" s="484">
        <f t="shared" si="27"/>
        <v>12543.056022033783</v>
      </c>
      <c r="I129" s="540">
        <f t="shared" si="28"/>
        <v>12543.056022033783</v>
      </c>
      <c r="J129" s="476">
        <f t="shared" si="15"/>
        <v>0</v>
      </c>
      <c r="K129" s="476"/>
      <c r="L129" s="485"/>
      <c r="M129" s="476">
        <f t="shared" si="29"/>
        <v>0</v>
      </c>
      <c r="N129" s="485"/>
      <c r="O129" s="476">
        <f t="shared" si="19"/>
        <v>0</v>
      </c>
      <c r="P129" s="476">
        <f t="shared" si="20"/>
        <v>0</v>
      </c>
    </row>
    <row r="130" spans="2:16" ht="12.5">
      <c r="B130" s="160" t="str">
        <f t="shared" si="21"/>
        <v/>
      </c>
      <c r="C130" s="470">
        <f>IF(D93="","-",+C129+1)</f>
        <v>2049</v>
      </c>
      <c r="D130" s="345">
        <f>IF(F129+SUM(E$99:E129)=D$92,F129,D$92-SUM(E$99:E129))</f>
        <v>50385</v>
      </c>
      <c r="E130" s="482">
        <f t="shared" si="24"/>
        <v>6421</v>
      </c>
      <c r="F130" s="483">
        <f t="shared" si="25"/>
        <v>43964</v>
      </c>
      <c r="G130" s="483">
        <f t="shared" si="26"/>
        <v>47174.5</v>
      </c>
      <c r="H130" s="484">
        <f t="shared" si="27"/>
        <v>11809.604114364687</v>
      </c>
      <c r="I130" s="540">
        <f t="shared" si="28"/>
        <v>11809.604114364687</v>
      </c>
      <c r="J130" s="476">
        <f t="shared" si="15"/>
        <v>0</v>
      </c>
      <c r="K130" s="476"/>
      <c r="L130" s="485"/>
      <c r="M130" s="476">
        <f t="shared" si="29"/>
        <v>0</v>
      </c>
      <c r="N130" s="485"/>
      <c r="O130" s="476">
        <f t="shared" si="19"/>
        <v>0</v>
      </c>
      <c r="P130" s="476">
        <f t="shared" si="20"/>
        <v>0</v>
      </c>
    </row>
    <row r="131" spans="2:16" ht="12.5">
      <c r="B131" s="160" t="str">
        <f t="shared" si="21"/>
        <v/>
      </c>
      <c r="C131" s="470">
        <f>IF(D93="","-",+C130+1)</f>
        <v>2050</v>
      </c>
      <c r="D131" s="345">
        <f>IF(F130+SUM(E$99:E130)=D$92,F130,D$92-SUM(E$99:E130))</f>
        <v>43964</v>
      </c>
      <c r="E131" s="482">
        <f t="shared" si="24"/>
        <v>6421</v>
      </c>
      <c r="F131" s="483">
        <f t="shared" si="25"/>
        <v>37543</v>
      </c>
      <c r="G131" s="483">
        <f t="shared" si="26"/>
        <v>40753.5</v>
      </c>
      <c r="H131" s="484">
        <f t="shared" si="27"/>
        <v>11076.152206695595</v>
      </c>
      <c r="I131" s="540">
        <f t="shared" si="28"/>
        <v>11076.152206695595</v>
      </c>
      <c r="J131" s="476">
        <f t="shared" ref="J131:J154" si="30">+I541-H541</f>
        <v>0</v>
      </c>
      <c r="K131" s="476"/>
      <c r="L131" s="485"/>
      <c r="M131" s="476">
        <f t="shared" ref="M131:M154" si="31">IF(L541&lt;&gt;0,+H541-L541,0)</f>
        <v>0</v>
      </c>
      <c r="N131" s="485"/>
      <c r="O131" s="476">
        <f t="shared" ref="O131:O154" si="32">IF(N541&lt;&gt;0,+I541-N541,0)</f>
        <v>0</v>
      </c>
      <c r="P131" s="476">
        <f t="shared" ref="P131:P154" si="33">+O541-M541</f>
        <v>0</v>
      </c>
    </row>
    <row r="132" spans="2:16" ht="12.5">
      <c r="B132" s="160" t="str">
        <f t="shared" si="21"/>
        <v/>
      </c>
      <c r="C132" s="470">
        <f>IF(D93="","-",+C131+1)</f>
        <v>2051</v>
      </c>
      <c r="D132" s="345">
        <f>IF(F131+SUM(E$99:E131)=D$92,F131,D$92-SUM(E$99:E131))</f>
        <v>37543</v>
      </c>
      <c r="E132" s="482">
        <f t="shared" si="24"/>
        <v>6421</v>
      </c>
      <c r="F132" s="483">
        <f t="shared" si="25"/>
        <v>31122</v>
      </c>
      <c r="G132" s="483">
        <f t="shared" si="26"/>
        <v>34332.5</v>
      </c>
      <c r="H132" s="484">
        <f t="shared" si="27"/>
        <v>10342.700299026501</v>
      </c>
      <c r="I132" s="540">
        <f t="shared" si="28"/>
        <v>10342.700299026501</v>
      </c>
      <c r="J132" s="476">
        <f t="shared" si="30"/>
        <v>0</v>
      </c>
      <c r="K132" s="476"/>
      <c r="L132" s="485"/>
      <c r="M132" s="476">
        <f t="shared" si="31"/>
        <v>0</v>
      </c>
      <c r="N132" s="485"/>
      <c r="O132" s="476">
        <f t="shared" si="32"/>
        <v>0</v>
      </c>
      <c r="P132" s="476">
        <f t="shared" si="33"/>
        <v>0</v>
      </c>
    </row>
    <row r="133" spans="2:16" ht="12.5">
      <c r="B133" s="160" t="str">
        <f t="shared" si="21"/>
        <v/>
      </c>
      <c r="C133" s="470">
        <f>IF(D93="","-",+C132+1)</f>
        <v>2052</v>
      </c>
      <c r="D133" s="345">
        <f>IF(F132+SUM(E$99:E132)=D$92,F132,D$92-SUM(E$99:E132))</f>
        <v>31122</v>
      </c>
      <c r="E133" s="482">
        <f t="shared" si="24"/>
        <v>6421</v>
      </c>
      <c r="F133" s="483">
        <f t="shared" si="25"/>
        <v>24701</v>
      </c>
      <c r="G133" s="483">
        <f t="shared" si="26"/>
        <v>27911.5</v>
      </c>
      <c r="H133" s="484">
        <f t="shared" si="27"/>
        <v>9609.2483913574069</v>
      </c>
      <c r="I133" s="540">
        <f t="shared" si="28"/>
        <v>9609.2483913574069</v>
      </c>
      <c r="J133" s="476">
        <f t="shared" si="30"/>
        <v>0</v>
      </c>
      <c r="K133" s="476"/>
      <c r="L133" s="485"/>
      <c r="M133" s="476">
        <f t="shared" si="31"/>
        <v>0</v>
      </c>
      <c r="N133" s="485"/>
      <c r="O133" s="476">
        <f t="shared" si="32"/>
        <v>0</v>
      </c>
      <c r="P133" s="476">
        <f t="shared" si="33"/>
        <v>0</v>
      </c>
    </row>
    <row r="134" spans="2:16" ht="12.5">
      <c r="B134" s="160" t="str">
        <f t="shared" si="21"/>
        <v/>
      </c>
      <c r="C134" s="470">
        <f>IF(D93="","-",+C133+1)</f>
        <v>2053</v>
      </c>
      <c r="D134" s="345">
        <f>IF(F133+SUM(E$99:E133)=D$92,F133,D$92-SUM(E$99:E133))</f>
        <v>24701</v>
      </c>
      <c r="E134" s="482">
        <f t="shared" si="24"/>
        <v>6421</v>
      </c>
      <c r="F134" s="483">
        <f t="shared" si="25"/>
        <v>18280</v>
      </c>
      <c r="G134" s="483">
        <f t="shared" si="26"/>
        <v>21490.5</v>
      </c>
      <c r="H134" s="484">
        <f t="shared" si="27"/>
        <v>8875.7964836883129</v>
      </c>
      <c r="I134" s="540">
        <f t="shared" si="28"/>
        <v>8875.7964836883129</v>
      </c>
      <c r="J134" s="476">
        <f t="shared" si="30"/>
        <v>0</v>
      </c>
      <c r="K134" s="476"/>
      <c r="L134" s="485"/>
      <c r="M134" s="476">
        <f t="shared" si="31"/>
        <v>0</v>
      </c>
      <c r="N134" s="485"/>
      <c r="O134" s="476">
        <f t="shared" si="32"/>
        <v>0</v>
      </c>
      <c r="P134" s="476">
        <f t="shared" si="33"/>
        <v>0</v>
      </c>
    </row>
    <row r="135" spans="2:16" ht="12.5">
      <c r="B135" s="160" t="str">
        <f t="shared" si="21"/>
        <v/>
      </c>
      <c r="C135" s="470">
        <f>IF(D93="","-",+C134+1)</f>
        <v>2054</v>
      </c>
      <c r="D135" s="345">
        <f>IF(F134+SUM(E$99:E134)=D$92,F134,D$92-SUM(E$99:E134))</f>
        <v>18280</v>
      </c>
      <c r="E135" s="482">
        <f t="shared" si="24"/>
        <v>6421</v>
      </c>
      <c r="F135" s="483">
        <f t="shared" si="25"/>
        <v>11859</v>
      </c>
      <c r="G135" s="483">
        <f t="shared" si="26"/>
        <v>15069.5</v>
      </c>
      <c r="H135" s="484">
        <f t="shared" si="27"/>
        <v>8142.3445760192189</v>
      </c>
      <c r="I135" s="540">
        <f t="shared" si="28"/>
        <v>8142.3445760192189</v>
      </c>
      <c r="J135" s="476">
        <f t="shared" si="30"/>
        <v>0</v>
      </c>
      <c r="K135" s="476"/>
      <c r="L135" s="485"/>
      <c r="M135" s="476">
        <f t="shared" si="31"/>
        <v>0</v>
      </c>
      <c r="N135" s="485"/>
      <c r="O135" s="476">
        <f t="shared" si="32"/>
        <v>0</v>
      </c>
      <c r="P135" s="476">
        <f t="shared" si="33"/>
        <v>0</v>
      </c>
    </row>
    <row r="136" spans="2:16" ht="12.5">
      <c r="B136" s="160" t="str">
        <f t="shared" si="21"/>
        <v/>
      </c>
      <c r="C136" s="470">
        <f>IF(D93="","-",+C135+1)</f>
        <v>2055</v>
      </c>
      <c r="D136" s="345">
        <f>IF(F135+SUM(E$99:E135)=D$92,F135,D$92-SUM(E$99:E135))</f>
        <v>11859</v>
      </c>
      <c r="E136" s="482">
        <f t="shared" si="24"/>
        <v>6421</v>
      </c>
      <c r="F136" s="483">
        <f t="shared" si="25"/>
        <v>5438</v>
      </c>
      <c r="G136" s="483">
        <f t="shared" si="26"/>
        <v>8648.5</v>
      </c>
      <c r="H136" s="484">
        <f t="shared" si="27"/>
        <v>7408.8926683501259</v>
      </c>
      <c r="I136" s="540">
        <f t="shared" si="28"/>
        <v>7408.8926683501259</v>
      </c>
      <c r="J136" s="476">
        <f t="shared" si="30"/>
        <v>0</v>
      </c>
      <c r="K136" s="476"/>
      <c r="L136" s="485"/>
      <c r="M136" s="476">
        <f t="shared" si="31"/>
        <v>0</v>
      </c>
      <c r="N136" s="485"/>
      <c r="O136" s="476">
        <f t="shared" si="32"/>
        <v>0</v>
      </c>
      <c r="P136" s="476">
        <f t="shared" si="33"/>
        <v>0</v>
      </c>
    </row>
    <row r="137" spans="2:16" ht="12.5">
      <c r="B137" s="160" t="str">
        <f t="shared" si="21"/>
        <v/>
      </c>
      <c r="C137" s="470">
        <f>IF(D93="","-",+C136+1)</f>
        <v>2056</v>
      </c>
      <c r="D137" s="345">
        <f>IF(F136+SUM(E$99:E136)=D$92,F136,D$92-SUM(E$99:E136))</f>
        <v>5438</v>
      </c>
      <c r="E137" s="482">
        <f t="shared" si="24"/>
        <v>5438</v>
      </c>
      <c r="F137" s="483">
        <f t="shared" si="25"/>
        <v>0</v>
      </c>
      <c r="G137" s="483">
        <f t="shared" si="26"/>
        <v>2719</v>
      </c>
      <c r="H137" s="484">
        <f t="shared" si="27"/>
        <v>5748.5833572577894</v>
      </c>
      <c r="I137" s="540">
        <f t="shared" si="28"/>
        <v>5748.5833572577894</v>
      </c>
      <c r="J137" s="476">
        <f t="shared" si="30"/>
        <v>0</v>
      </c>
      <c r="K137" s="476"/>
      <c r="L137" s="485"/>
      <c r="M137" s="476">
        <f t="shared" si="31"/>
        <v>0</v>
      </c>
      <c r="N137" s="485"/>
      <c r="O137" s="476">
        <f t="shared" si="32"/>
        <v>0</v>
      </c>
      <c r="P137" s="476">
        <f t="shared" si="33"/>
        <v>0</v>
      </c>
    </row>
    <row r="138" spans="2:16" ht="12.5">
      <c r="B138" s="160" t="str">
        <f t="shared" si="21"/>
        <v/>
      </c>
      <c r="C138" s="470">
        <f>IF(D93="","-",+C137+1)</f>
        <v>2057</v>
      </c>
      <c r="D138" s="345">
        <f>IF(F137+SUM(E$99:E137)=D$92,F137,D$92-SUM(E$99:E137))</f>
        <v>0</v>
      </c>
      <c r="E138" s="482">
        <f t="shared" si="24"/>
        <v>0</v>
      </c>
      <c r="F138" s="483">
        <f t="shared" si="25"/>
        <v>0</v>
      </c>
      <c r="G138" s="483">
        <f t="shared" si="26"/>
        <v>0</v>
      </c>
      <c r="H138" s="484">
        <f t="shared" si="27"/>
        <v>0</v>
      </c>
      <c r="I138" s="540">
        <f t="shared" si="28"/>
        <v>0</v>
      </c>
      <c r="J138" s="476">
        <f t="shared" si="30"/>
        <v>0</v>
      </c>
      <c r="K138" s="476"/>
      <c r="L138" s="485"/>
      <c r="M138" s="476">
        <f t="shared" si="31"/>
        <v>0</v>
      </c>
      <c r="N138" s="485"/>
      <c r="O138" s="476">
        <f t="shared" si="32"/>
        <v>0</v>
      </c>
      <c r="P138" s="476">
        <f t="shared" si="33"/>
        <v>0</v>
      </c>
    </row>
    <row r="139" spans="2:16" ht="12.5">
      <c r="B139" s="160" t="str">
        <f t="shared" si="21"/>
        <v/>
      </c>
      <c r="C139" s="470">
        <f>IF(D93="","-",+C138+1)</f>
        <v>2058</v>
      </c>
      <c r="D139" s="345">
        <f>IF(F138+SUM(E$99:E138)=D$92,F138,D$92-SUM(E$99:E138))</f>
        <v>0</v>
      </c>
      <c r="E139" s="482">
        <f t="shared" si="24"/>
        <v>0</v>
      </c>
      <c r="F139" s="483">
        <f t="shared" si="25"/>
        <v>0</v>
      </c>
      <c r="G139" s="483">
        <f t="shared" si="26"/>
        <v>0</v>
      </c>
      <c r="H139" s="484">
        <f t="shared" si="27"/>
        <v>0</v>
      </c>
      <c r="I139" s="540">
        <f t="shared" si="28"/>
        <v>0</v>
      </c>
      <c r="J139" s="476">
        <f t="shared" si="30"/>
        <v>0</v>
      </c>
      <c r="K139" s="476"/>
      <c r="L139" s="485"/>
      <c r="M139" s="476">
        <f t="shared" si="31"/>
        <v>0</v>
      </c>
      <c r="N139" s="485"/>
      <c r="O139" s="476">
        <f t="shared" si="32"/>
        <v>0</v>
      </c>
      <c r="P139" s="476">
        <f t="shared" si="33"/>
        <v>0</v>
      </c>
    </row>
    <row r="140" spans="2:16" ht="12.5">
      <c r="B140" s="160" t="str">
        <f t="shared" si="21"/>
        <v/>
      </c>
      <c r="C140" s="470">
        <f>IF(D93="","-",+C139+1)</f>
        <v>2059</v>
      </c>
      <c r="D140" s="345">
        <f>IF(F139+SUM(E$99:E139)=D$92,F139,D$92-SUM(E$99:E139))</f>
        <v>0</v>
      </c>
      <c r="E140" s="482">
        <f t="shared" si="24"/>
        <v>0</v>
      </c>
      <c r="F140" s="483">
        <f t="shared" si="25"/>
        <v>0</v>
      </c>
      <c r="G140" s="483">
        <f t="shared" si="26"/>
        <v>0</v>
      </c>
      <c r="H140" s="484">
        <f t="shared" si="27"/>
        <v>0</v>
      </c>
      <c r="I140" s="540">
        <f t="shared" si="28"/>
        <v>0</v>
      </c>
      <c r="J140" s="476">
        <f t="shared" si="30"/>
        <v>0</v>
      </c>
      <c r="K140" s="476"/>
      <c r="L140" s="485"/>
      <c r="M140" s="476">
        <f t="shared" si="31"/>
        <v>0</v>
      </c>
      <c r="N140" s="485"/>
      <c r="O140" s="476">
        <f t="shared" si="32"/>
        <v>0</v>
      </c>
      <c r="P140" s="476">
        <f t="shared" si="33"/>
        <v>0</v>
      </c>
    </row>
    <row r="141" spans="2:16" ht="12.5">
      <c r="B141" s="160" t="str">
        <f t="shared" si="21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4"/>
        <v>0</v>
      </c>
      <c r="F141" s="483">
        <f t="shared" si="25"/>
        <v>0</v>
      </c>
      <c r="G141" s="483">
        <f t="shared" si="26"/>
        <v>0</v>
      </c>
      <c r="H141" s="484">
        <f t="shared" si="27"/>
        <v>0</v>
      </c>
      <c r="I141" s="540">
        <f t="shared" si="28"/>
        <v>0</v>
      </c>
      <c r="J141" s="476">
        <f t="shared" si="30"/>
        <v>0</v>
      </c>
      <c r="K141" s="476"/>
      <c r="L141" s="485"/>
      <c r="M141" s="476">
        <f t="shared" si="31"/>
        <v>0</v>
      </c>
      <c r="N141" s="485"/>
      <c r="O141" s="476">
        <f t="shared" si="32"/>
        <v>0</v>
      </c>
      <c r="P141" s="476">
        <f t="shared" si="33"/>
        <v>0</v>
      </c>
    </row>
    <row r="142" spans="2:16" ht="12.5">
      <c r="B142" s="160" t="str">
        <f t="shared" si="21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4"/>
        <v>0</v>
      </c>
      <c r="F142" s="483">
        <f t="shared" si="25"/>
        <v>0</v>
      </c>
      <c r="G142" s="483">
        <f t="shared" si="26"/>
        <v>0</v>
      </c>
      <c r="H142" s="484">
        <f t="shared" si="27"/>
        <v>0</v>
      </c>
      <c r="I142" s="540">
        <f t="shared" si="28"/>
        <v>0</v>
      </c>
      <c r="J142" s="476">
        <f t="shared" si="30"/>
        <v>0</v>
      </c>
      <c r="K142" s="476"/>
      <c r="L142" s="485"/>
      <c r="M142" s="476">
        <f t="shared" si="31"/>
        <v>0</v>
      </c>
      <c r="N142" s="485"/>
      <c r="O142" s="476">
        <f t="shared" si="32"/>
        <v>0</v>
      </c>
      <c r="P142" s="476">
        <f t="shared" si="33"/>
        <v>0</v>
      </c>
    </row>
    <row r="143" spans="2:16" ht="12.5">
      <c r="B143" s="160" t="str">
        <f t="shared" si="21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4"/>
        <v>0</v>
      </c>
      <c r="F143" s="483">
        <f t="shared" si="25"/>
        <v>0</v>
      </c>
      <c r="G143" s="483">
        <f t="shared" si="26"/>
        <v>0</v>
      </c>
      <c r="H143" s="484">
        <f t="shared" si="27"/>
        <v>0</v>
      </c>
      <c r="I143" s="540">
        <f t="shared" si="28"/>
        <v>0</v>
      </c>
      <c r="J143" s="476">
        <f t="shared" si="30"/>
        <v>0</v>
      </c>
      <c r="K143" s="476"/>
      <c r="L143" s="485"/>
      <c r="M143" s="476">
        <f t="shared" si="31"/>
        <v>0</v>
      </c>
      <c r="N143" s="485"/>
      <c r="O143" s="476">
        <f t="shared" si="32"/>
        <v>0</v>
      </c>
      <c r="P143" s="476">
        <f t="shared" si="33"/>
        <v>0</v>
      </c>
    </row>
    <row r="144" spans="2:16" ht="12.5">
      <c r="B144" s="160" t="str">
        <f t="shared" si="21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4"/>
        <v>0</v>
      </c>
      <c r="F144" s="483">
        <f t="shared" si="25"/>
        <v>0</v>
      </c>
      <c r="G144" s="483">
        <f t="shared" si="26"/>
        <v>0</v>
      </c>
      <c r="H144" s="484">
        <f t="shared" si="27"/>
        <v>0</v>
      </c>
      <c r="I144" s="540">
        <f t="shared" si="28"/>
        <v>0</v>
      </c>
      <c r="J144" s="476">
        <f t="shared" si="30"/>
        <v>0</v>
      </c>
      <c r="K144" s="476"/>
      <c r="L144" s="485"/>
      <c r="M144" s="476">
        <f t="shared" si="31"/>
        <v>0</v>
      </c>
      <c r="N144" s="485"/>
      <c r="O144" s="476">
        <f t="shared" si="32"/>
        <v>0</v>
      </c>
      <c r="P144" s="476">
        <f t="shared" si="33"/>
        <v>0</v>
      </c>
    </row>
    <row r="145" spans="2:16" ht="12.5">
      <c r="B145" s="160" t="str">
        <f t="shared" si="21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4"/>
        <v>0</v>
      </c>
      <c r="F145" s="483">
        <f t="shared" si="25"/>
        <v>0</v>
      </c>
      <c r="G145" s="483">
        <f t="shared" si="26"/>
        <v>0</v>
      </c>
      <c r="H145" s="484">
        <f t="shared" si="27"/>
        <v>0</v>
      </c>
      <c r="I145" s="540">
        <f t="shared" si="28"/>
        <v>0</v>
      </c>
      <c r="J145" s="476">
        <f t="shared" si="30"/>
        <v>0</v>
      </c>
      <c r="K145" s="476"/>
      <c r="L145" s="485"/>
      <c r="M145" s="476">
        <f t="shared" si="31"/>
        <v>0</v>
      </c>
      <c r="N145" s="485"/>
      <c r="O145" s="476">
        <f t="shared" si="32"/>
        <v>0</v>
      </c>
      <c r="P145" s="476">
        <f t="shared" si="33"/>
        <v>0</v>
      </c>
    </row>
    <row r="146" spans="2:16" ht="12.5">
      <c r="B146" s="160" t="str">
        <f t="shared" si="21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4"/>
        <v>0</v>
      </c>
      <c r="F146" s="483">
        <f t="shared" si="25"/>
        <v>0</v>
      </c>
      <c r="G146" s="483">
        <f t="shared" si="26"/>
        <v>0</v>
      </c>
      <c r="H146" s="484">
        <f t="shared" si="27"/>
        <v>0</v>
      </c>
      <c r="I146" s="540">
        <f t="shared" si="28"/>
        <v>0</v>
      </c>
      <c r="J146" s="476">
        <f t="shared" si="30"/>
        <v>0</v>
      </c>
      <c r="K146" s="476"/>
      <c r="L146" s="485"/>
      <c r="M146" s="476">
        <f t="shared" si="31"/>
        <v>0</v>
      </c>
      <c r="N146" s="485"/>
      <c r="O146" s="476">
        <f t="shared" si="32"/>
        <v>0</v>
      </c>
      <c r="P146" s="476">
        <f t="shared" si="33"/>
        <v>0</v>
      </c>
    </row>
    <row r="147" spans="2:16" ht="12.5">
      <c r="B147" s="160" t="str">
        <f t="shared" si="21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4"/>
        <v>0</v>
      </c>
      <c r="F147" s="483">
        <f t="shared" si="25"/>
        <v>0</v>
      </c>
      <c r="G147" s="483">
        <f t="shared" si="26"/>
        <v>0</v>
      </c>
      <c r="H147" s="484">
        <f t="shared" si="27"/>
        <v>0</v>
      </c>
      <c r="I147" s="540">
        <f t="shared" si="28"/>
        <v>0</v>
      </c>
      <c r="J147" s="476">
        <f t="shared" si="30"/>
        <v>0</v>
      </c>
      <c r="K147" s="476"/>
      <c r="L147" s="485"/>
      <c r="M147" s="476">
        <f t="shared" si="31"/>
        <v>0</v>
      </c>
      <c r="N147" s="485"/>
      <c r="O147" s="476">
        <f t="shared" si="32"/>
        <v>0</v>
      </c>
      <c r="P147" s="476">
        <f t="shared" si="33"/>
        <v>0</v>
      </c>
    </row>
    <row r="148" spans="2:16" ht="12.5">
      <c r="B148" s="160" t="str">
        <f t="shared" si="21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4"/>
        <v>0</v>
      </c>
      <c r="F148" s="483">
        <f t="shared" si="25"/>
        <v>0</v>
      </c>
      <c r="G148" s="483">
        <f t="shared" si="26"/>
        <v>0</v>
      </c>
      <c r="H148" s="484">
        <f t="shared" si="27"/>
        <v>0</v>
      </c>
      <c r="I148" s="540">
        <f t="shared" si="28"/>
        <v>0</v>
      </c>
      <c r="J148" s="476">
        <f t="shared" si="30"/>
        <v>0</v>
      </c>
      <c r="K148" s="476"/>
      <c r="L148" s="485"/>
      <c r="M148" s="476">
        <f t="shared" si="31"/>
        <v>0</v>
      </c>
      <c r="N148" s="485"/>
      <c r="O148" s="476">
        <f t="shared" si="32"/>
        <v>0</v>
      </c>
      <c r="P148" s="476">
        <f t="shared" si="33"/>
        <v>0</v>
      </c>
    </row>
    <row r="149" spans="2:16" ht="12.5">
      <c r="B149" s="160" t="str">
        <f t="shared" si="21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4"/>
        <v>0</v>
      </c>
      <c r="F149" s="483">
        <f t="shared" si="25"/>
        <v>0</v>
      </c>
      <c r="G149" s="483">
        <f t="shared" si="26"/>
        <v>0</v>
      </c>
      <c r="H149" s="484">
        <f t="shared" si="27"/>
        <v>0</v>
      </c>
      <c r="I149" s="540">
        <f t="shared" si="28"/>
        <v>0</v>
      </c>
      <c r="J149" s="476">
        <f t="shared" si="30"/>
        <v>0</v>
      </c>
      <c r="K149" s="476"/>
      <c r="L149" s="485"/>
      <c r="M149" s="476">
        <f t="shared" si="31"/>
        <v>0</v>
      </c>
      <c r="N149" s="485"/>
      <c r="O149" s="476">
        <f t="shared" si="32"/>
        <v>0</v>
      </c>
      <c r="P149" s="476">
        <f t="shared" si="33"/>
        <v>0</v>
      </c>
    </row>
    <row r="150" spans="2:16" ht="12.5">
      <c r="B150" s="160" t="str">
        <f t="shared" si="21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4"/>
        <v>0</v>
      </c>
      <c r="F150" s="483">
        <f t="shared" si="25"/>
        <v>0</v>
      </c>
      <c r="G150" s="483">
        <f t="shared" si="26"/>
        <v>0</v>
      </c>
      <c r="H150" s="484">
        <f t="shared" si="27"/>
        <v>0</v>
      </c>
      <c r="I150" s="540">
        <f t="shared" si="28"/>
        <v>0</v>
      </c>
      <c r="J150" s="476">
        <f t="shared" si="30"/>
        <v>0</v>
      </c>
      <c r="K150" s="476"/>
      <c r="L150" s="485"/>
      <c r="M150" s="476">
        <f t="shared" si="31"/>
        <v>0</v>
      </c>
      <c r="N150" s="485"/>
      <c r="O150" s="476">
        <f t="shared" si="32"/>
        <v>0</v>
      </c>
      <c r="P150" s="476">
        <f t="shared" si="33"/>
        <v>0</v>
      </c>
    </row>
    <row r="151" spans="2:16" ht="12.5">
      <c r="B151" s="160" t="str">
        <f t="shared" si="21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4"/>
        <v>0</v>
      </c>
      <c r="F151" s="483">
        <f t="shared" si="25"/>
        <v>0</v>
      </c>
      <c r="G151" s="483">
        <f t="shared" si="26"/>
        <v>0</v>
      </c>
      <c r="H151" s="484">
        <f t="shared" si="27"/>
        <v>0</v>
      </c>
      <c r="I151" s="540">
        <f t="shared" si="28"/>
        <v>0</v>
      </c>
      <c r="J151" s="476">
        <f t="shared" si="30"/>
        <v>0</v>
      </c>
      <c r="K151" s="476"/>
      <c r="L151" s="485"/>
      <c r="M151" s="476">
        <f t="shared" si="31"/>
        <v>0</v>
      </c>
      <c r="N151" s="485"/>
      <c r="O151" s="476">
        <f t="shared" si="32"/>
        <v>0</v>
      </c>
      <c r="P151" s="476">
        <f t="shared" si="33"/>
        <v>0</v>
      </c>
    </row>
    <row r="152" spans="2:16" ht="12.5">
      <c r="B152" s="160" t="str">
        <f t="shared" si="21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4"/>
        <v>0</v>
      </c>
      <c r="F152" s="483">
        <f t="shared" si="25"/>
        <v>0</v>
      </c>
      <c r="G152" s="483">
        <f t="shared" si="26"/>
        <v>0</v>
      </c>
      <c r="H152" s="484">
        <f t="shared" si="27"/>
        <v>0</v>
      </c>
      <c r="I152" s="540">
        <f t="shared" si="28"/>
        <v>0</v>
      </c>
      <c r="J152" s="476">
        <f t="shared" si="30"/>
        <v>0</v>
      </c>
      <c r="K152" s="476"/>
      <c r="L152" s="485"/>
      <c r="M152" s="476">
        <f t="shared" si="31"/>
        <v>0</v>
      </c>
      <c r="N152" s="485"/>
      <c r="O152" s="476">
        <f t="shared" si="32"/>
        <v>0</v>
      </c>
      <c r="P152" s="476">
        <f t="shared" si="33"/>
        <v>0</v>
      </c>
    </row>
    <row r="153" spans="2:16" ht="12.5">
      <c r="B153" s="160" t="str">
        <f t="shared" si="21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4"/>
        <v>0</v>
      </c>
      <c r="F153" s="483">
        <f t="shared" si="25"/>
        <v>0</v>
      </c>
      <c r="G153" s="483">
        <f t="shared" si="26"/>
        <v>0</v>
      </c>
      <c r="H153" s="484">
        <f t="shared" si="27"/>
        <v>0</v>
      </c>
      <c r="I153" s="540">
        <f t="shared" si="28"/>
        <v>0</v>
      </c>
      <c r="J153" s="476">
        <f t="shared" si="30"/>
        <v>0</v>
      </c>
      <c r="K153" s="476"/>
      <c r="L153" s="485"/>
      <c r="M153" s="476">
        <f t="shared" si="31"/>
        <v>0</v>
      </c>
      <c r="N153" s="485"/>
      <c r="O153" s="476">
        <f t="shared" si="32"/>
        <v>0</v>
      </c>
      <c r="P153" s="476">
        <f t="shared" si="33"/>
        <v>0</v>
      </c>
    </row>
    <row r="154" spans="2:16" ht="13" thickBot="1">
      <c r="B154" s="160" t="str">
        <f t="shared" si="21"/>
        <v/>
      </c>
      <c r="C154" s="487">
        <f>IF(D93="","-",+C153+1)</f>
        <v>2073</v>
      </c>
      <c r="D154" s="489">
        <f>IF(F153+SUM(E$99:E153)=D$92,F153,D$92-SUM(E$99:E153))</f>
        <v>0</v>
      </c>
      <c r="E154" s="489">
        <f t="shared" si="24"/>
        <v>0</v>
      </c>
      <c r="F154" s="488">
        <f t="shared" si="25"/>
        <v>0</v>
      </c>
      <c r="G154" s="488">
        <f t="shared" si="26"/>
        <v>0</v>
      </c>
      <c r="H154" s="610">
        <f t="shared" ref="H154" si="34">+J$94*G154+E154</f>
        <v>0</v>
      </c>
      <c r="I154" s="611">
        <f t="shared" ref="I154" si="35">+J$95*G154+E154</f>
        <v>0</v>
      </c>
      <c r="J154" s="493">
        <f t="shared" si="30"/>
        <v>0</v>
      </c>
      <c r="K154" s="476"/>
      <c r="L154" s="492"/>
      <c r="M154" s="493">
        <f t="shared" si="31"/>
        <v>0</v>
      </c>
      <c r="N154" s="492"/>
      <c r="O154" s="493">
        <f t="shared" si="32"/>
        <v>0</v>
      </c>
      <c r="P154" s="493">
        <f t="shared" si="33"/>
        <v>0</v>
      </c>
    </row>
    <row r="155" spans="2:16" ht="12.5">
      <c r="C155" s="345" t="s">
        <v>77</v>
      </c>
      <c r="D155" s="346"/>
      <c r="E155" s="346">
        <f>SUM(E99:E154)</f>
        <v>244000</v>
      </c>
      <c r="F155" s="346"/>
      <c r="G155" s="346"/>
      <c r="H155" s="346">
        <f>SUM(H99:H154)</f>
        <v>777986.26527963218</v>
      </c>
      <c r="I155" s="346">
        <f>SUM(I99:I154)</f>
        <v>777986.26527963218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2"/>
  <sheetViews>
    <sheetView topLeftCell="A58" zoomScale="80" zoomScaleNormal="80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23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148802.48155476435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148802.48155476435</v>
      </c>
      <c r="O6" s="231"/>
      <c r="P6" s="231"/>
    </row>
    <row r="7" spans="1:16" ht="13.5" thickBot="1">
      <c r="C7" s="429" t="s">
        <v>46</v>
      </c>
      <c r="D7" s="597" t="s">
        <v>299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300</v>
      </c>
      <c r="E9" s="575" t="s">
        <v>301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1165593.0099999998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29887.000256410251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2018</v>
      </c>
      <c r="D17" s="582">
        <v>0</v>
      </c>
      <c r="E17" s="605">
        <v>19755.555555555555</v>
      </c>
      <c r="F17" s="582">
        <v>1758244.4444444445</v>
      </c>
      <c r="G17" s="605">
        <v>125038.30164155026</v>
      </c>
      <c r="H17" s="585">
        <v>125038.30164155026</v>
      </c>
      <c r="I17" s="473">
        <f>H17-G17</f>
        <v>0</v>
      </c>
      <c r="J17" s="473"/>
      <c r="K17" s="552">
        <f t="shared" ref="K17:K22" si="0">+G17</f>
        <v>125038.30164155026</v>
      </c>
      <c r="L17" s="475">
        <f t="shared" ref="L17:L72" si="1">IF(K17&lt;&gt;0,+G17-K17,0)</f>
        <v>0</v>
      </c>
      <c r="M17" s="552">
        <f t="shared" ref="M17:M22" si="2">+H17</f>
        <v>125038.30164155026</v>
      </c>
      <c r="N17" s="475">
        <f t="shared" ref="N17:N72" si="3">IF(M17&lt;&gt;0,+H17-M17,0)</f>
        <v>0</v>
      </c>
      <c r="O17" s="476">
        <f t="shared" ref="O17:O72" si="4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2019</v>
      </c>
      <c r="D18" s="582">
        <v>2017244.4444444445</v>
      </c>
      <c r="E18" s="583">
        <v>50925</v>
      </c>
      <c r="F18" s="582">
        <v>1966319.4444444445</v>
      </c>
      <c r="G18" s="583">
        <v>273320.66219595348</v>
      </c>
      <c r="H18" s="585">
        <v>273320.66219595348</v>
      </c>
      <c r="I18" s="473">
        <f>H18-G18</f>
        <v>0</v>
      </c>
      <c r="J18" s="473"/>
      <c r="K18" s="476">
        <f t="shared" si="0"/>
        <v>273320.66219595348</v>
      </c>
      <c r="L18" s="476">
        <f t="shared" si="1"/>
        <v>0</v>
      </c>
      <c r="M18" s="476">
        <f t="shared" si="2"/>
        <v>273320.66219595348</v>
      </c>
      <c r="N18" s="476">
        <f t="shared" si="3"/>
        <v>0</v>
      </c>
      <c r="O18" s="476">
        <f t="shared" si="4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2020</v>
      </c>
      <c r="D19" s="582">
        <v>1141057.3333333333</v>
      </c>
      <c r="E19" s="583">
        <v>28579.142857142859</v>
      </c>
      <c r="F19" s="582">
        <v>1112478.1904761903</v>
      </c>
      <c r="G19" s="583">
        <v>150275.44361099388</v>
      </c>
      <c r="H19" s="585">
        <v>150275.44361099388</v>
      </c>
      <c r="I19" s="473">
        <f t="shared" ref="I19:I71" si="5">H19-G19</f>
        <v>0</v>
      </c>
      <c r="J19" s="473"/>
      <c r="K19" s="476">
        <f t="shared" si="0"/>
        <v>150275.44361099388</v>
      </c>
      <c r="L19" s="476">
        <f t="shared" ref="L19" si="6">IF(K19&lt;&gt;0,+G19-K19,0)</f>
        <v>0</v>
      </c>
      <c r="M19" s="476">
        <f t="shared" si="2"/>
        <v>150275.44361099388</v>
      </c>
      <c r="N19" s="476">
        <f t="shared" si="3"/>
        <v>0</v>
      </c>
      <c r="O19" s="476">
        <f t="shared" si="4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2021</v>
      </c>
      <c r="D20" s="582">
        <v>1076920.3015873015</v>
      </c>
      <c r="E20" s="583">
        <v>27353.023255813954</v>
      </c>
      <c r="F20" s="582">
        <v>1049567.2783314877</v>
      </c>
      <c r="G20" s="583">
        <v>141993.72505975311</v>
      </c>
      <c r="H20" s="585">
        <v>141993.72505975311</v>
      </c>
      <c r="I20" s="473">
        <f t="shared" si="5"/>
        <v>0</v>
      </c>
      <c r="J20" s="473"/>
      <c r="K20" s="476">
        <f t="shared" si="0"/>
        <v>141993.72505975311</v>
      </c>
      <c r="L20" s="476">
        <f t="shared" ref="L20" si="8">IF(K20&lt;&gt;0,+G20-K20,0)</f>
        <v>0</v>
      </c>
      <c r="M20" s="476">
        <f t="shared" si="2"/>
        <v>141993.72505975311</v>
      </c>
      <c r="N20" s="476">
        <f t="shared" si="3"/>
        <v>0</v>
      </c>
      <c r="O20" s="476">
        <f t="shared" si="4"/>
        <v>0</v>
      </c>
      <c r="P20" s="241"/>
    </row>
    <row r="21" spans="2:16" ht="12.5">
      <c r="B21" s="160" t="str">
        <f t="shared" si="7"/>
        <v>IU</v>
      </c>
      <c r="C21" s="470">
        <f>IF(D11="","-",+C20+1)</f>
        <v>2022</v>
      </c>
      <c r="D21" s="582">
        <v>1038980.2783314877</v>
      </c>
      <c r="E21" s="583">
        <v>27752.214285714286</v>
      </c>
      <c r="F21" s="582">
        <v>1011228.0640457734</v>
      </c>
      <c r="G21" s="583">
        <v>138269.97206377087</v>
      </c>
      <c r="H21" s="585">
        <v>138269.97206377087</v>
      </c>
      <c r="I21" s="473">
        <f t="shared" si="5"/>
        <v>0</v>
      </c>
      <c r="J21" s="473"/>
      <c r="K21" s="476">
        <f t="shared" si="0"/>
        <v>138269.97206377087</v>
      </c>
      <c r="L21" s="476">
        <f t="shared" ref="L21" si="9">IF(K21&lt;&gt;0,+G21-K21,0)</f>
        <v>0</v>
      </c>
      <c r="M21" s="476">
        <f t="shared" si="2"/>
        <v>138269.97206377087</v>
      </c>
      <c r="N21" s="476">
        <f t="shared" si="3"/>
        <v>0</v>
      </c>
      <c r="O21" s="476">
        <f t="shared" si="4"/>
        <v>0</v>
      </c>
      <c r="P21" s="241"/>
    </row>
    <row r="22" spans="2:16" ht="12.5">
      <c r="B22" s="160" t="str">
        <f t="shared" si="7"/>
        <v>IU</v>
      </c>
      <c r="C22" s="470">
        <f>IF(D11="","-",+C21+1)</f>
        <v>2023</v>
      </c>
      <c r="D22" s="582">
        <v>1011228.0740457731</v>
      </c>
      <c r="E22" s="583">
        <v>29887.000256410251</v>
      </c>
      <c r="F22" s="582">
        <v>981341.07378936291</v>
      </c>
      <c r="G22" s="583">
        <v>148802.48155476435</v>
      </c>
      <c r="H22" s="585">
        <v>148802.48155476435</v>
      </c>
      <c r="I22" s="473">
        <f t="shared" si="5"/>
        <v>0</v>
      </c>
      <c r="J22" s="473"/>
      <c r="K22" s="476">
        <f t="shared" si="0"/>
        <v>148802.48155476435</v>
      </c>
      <c r="L22" s="476">
        <f t="shared" ref="L22" si="10">IF(K22&lt;&gt;0,+G22-K22,0)</f>
        <v>0</v>
      </c>
      <c r="M22" s="476">
        <f t="shared" si="2"/>
        <v>148802.48155476435</v>
      </c>
      <c r="N22" s="476">
        <f t="shared" si="3"/>
        <v>0</v>
      </c>
      <c r="O22" s="476">
        <f t="shared" si="4"/>
        <v>0</v>
      </c>
      <c r="P22" s="241"/>
    </row>
    <row r="23" spans="2:16" ht="12.5">
      <c r="B23" s="160" t="str">
        <f t="shared" si="7"/>
        <v/>
      </c>
      <c r="C23" s="470">
        <f>IF(D11="","-",+C22+1)</f>
        <v>2024</v>
      </c>
      <c r="D23" s="481">
        <f>IF(F22+SUM(E$17:E22)=D$10,F22,D$10-SUM(E$17:E22))</f>
        <v>981341.07378936291</v>
      </c>
      <c r="E23" s="482">
        <f t="shared" ref="E23:E71" si="11">IF(+I$14&lt;F22,I$14,D23)</f>
        <v>29887.000256410251</v>
      </c>
      <c r="F23" s="483">
        <f t="shared" ref="F23:F71" si="12">+D23-E23</f>
        <v>951454.07353295269</v>
      </c>
      <c r="G23" s="484">
        <f t="shared" ref="G23:G71" si="13">(D23+F23)/2*I$12+E23</f>
        <v>145235.20056587984</v>
      </c>
      <c r="H23" s="453">
        <f t="shared" ref="H23:H71" si="14">+(D23+F23)/2*I$13+E23</f>
        <v>145235.20056587984</v>
      </c>
      <c r="I23" s="473">
        <f t="shared" si="5"/>
        <v>0</v>
      </c>
      <c r="J23" s="473"/>
      <c r="K23" s="485"/>
      <c r="L23" s="476">
        <f t="shared" si="1"/>
        <v>0</v>
      </c>
      <c r="M23" s="485"/>
      <c r="N23" s="476">
        <f t="shared" si="3"/>
        <v>0</v>
      </c>
      <c r="O23" s="476">
        <f t="shared" si="4"/>
        <v>0</v>
      </c>
      <c r="P23" s="241"/>
    </row>
    <row r="24" spans="2:16" ht="12.5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951454.07353295269</v>
      </c>
      <c r="E24" s="482">
        <f t="shared" si="11"/>
        <v>29887.000256410251</v>
      </c>
      <c r="F24" s="483">
        <f t="shared" si="12"/>
        <v>921567.07327654248</v>
      </c>
      <c r="G24" s="484">
        <f t="shared" si="13"/>
        <v>141667.91957699531</v>
      </c>
      <c r="H24" s="453">
        <f t="shared" si="14"/>
        <v>141667.91957699531</v>
      </c>
      <c r="I24" s="473">
        <f t="shared" si="5"/>
        <v>0</v>
      </c>
      <c r="J24" s="473"/>
      <c r="K24" s="485"/>
      <c r="L24" s="476">
        <f t="shared" si="1"/>
        <v>0</v>
      </c>
      <c r="M24" s="485"/>
      <c r="N24" s="476">
        <f t="shared" si="3"/>
        <v>0</v>
      </c>
      <c r="O24" s="476">
        <f t="shared" si="4"/>
        <v>0</v>
      </c>
      <c r="P24" s="241"/>
    </row>
    <row r="25" spans="2:16" ht="12.5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921567.07327654248</v>
      </c>
      <c r="E25" s="482">
        <f t="shared" si="11"/>
        <v>29887.000256410251</v>
      </c>
      <c r="F25" s="483">
        <f t="shared" si="12"/>
        <v>891680.07302013226</v>
      </c>
      <c r="G25" s="484">
        <f t="shared" si="13"/>
        <v>138100.6385881108</v>
      </c>
      <c r="H25" s="453">
        <f t="shared" si="14"/>
        <v>138100.6385881108</v>
      </c>
      <c r="I25" s="473">
        <f t="shared" si="5"/>
        <v>0</v>
      </c>
      <c r="J25" s="473"/>
      <c r="K25" s="485"/>
      <c r="L25" s="476">
        <f t="shared" si="1"/>
        <v>0</v>
      </c>
      <c r="M25" s="485"/>
      <c r="N25" s="476">
        <f t="shared" si="3"/>
        <v>0</v>
      </c>
      <c r="O25" s="476">
        <f t="shared" si="4"/>
        <v>0</v>
      </c>
      <c r="P25" s="241"/>
    </row>
    <row r="26" spans="2:16" ht="12.5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891680.07302013226</v>
      </c>
      <c r="E26" s="482">
        <f t="shared" si="11"/>
        <v>29887.000256410251</v>
      </c>
      <c r="F26" s="483">
        <f t="shared" si="12"/>
        <v>861793.07276372204</v>
      </c>
      <c r="G26" s="484">
        <f t="shared" si="13"/>
        <v>134533.35759922626</v>
      </c>
      <c r="H26" s="453">
        <f t="shared" si="14"/>
        <v>134533.35759922626</v>
      </c>
      <c r="I26" s="473">
        <f t="shared" si="5"/>
        <v>0</v>
      </c>
      <c r="J26" s="473"/>
      <c r="K26" s="485"/>
      <c r="L26" s="476">
        <f t="shared" si="1"/>
        <v>0</v>
      </c>
      <c r="M26" s="485"/>
      <c r="N26" s="476">
        <f t="shared" si="3"/>
        <v>0</v>
      </c>
      <c r="O26" s="476">
        <f t="shared" si="4"/>
        <v>0</v>
      </c>
      <c r="P26" s="241"/>
    </row>
    <row r="27" spans="2:16" ht="12.5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861793.07276372204</v>
      </c>
      <c r="E27" s="482">
        <f t="shared" si="11"/>
        <v>29887.000256410251</v>
      </c>
      <c r="F27" s="483">
        <f t="shared" si="12"/>
        <v>831906.07250731182</v>
      </c>
      <c r="G27" s="484">
        <f t="shared" si="13"/>
        <v>130966.07661034176</v>
      </c>
      <c r="H27" s="453">
        <f t="shared" si="14"/>
        <v>130966.07661034176</v>
      </c>
      <c r="I27" s="473">
        <f t="shared" si="5"/>
        <v>0</v>
      </c>
      <c r="J27" s="473"/>
      <c r="K27" s="485"/>
      <c r="L27" s="476">
        <f t="shared" si="1"/>
        <v>0</v>
      </c>
      <c r="M27" s="485"/>
      <c r="N27" s="476">
        <f t="shared" si="3"/>
        <v>0</v>
      </c>
      <c r="O27" s="476">
        <f t="shared" si="4"/>
        <v>0</v>
      </c>
      <c r="P27" s="241"/>
    </row>
    <row r="28" spans="2:16" ht="12.5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831906.07250731182</v>
      </c>
      <c r="E28" s="482">
        <f t="shared" si="11"/>
        <v>29887.000256410251</v>
      </c>
      <c r="F28" s="483">
        <f t="shared" si="12"/>
        <v>802019.07225090161</v>
      </c>
      <c r="G28" s="484">
        <f t="shared" si="13"/>
        <v>127398.79562145722</v>
      </c>
      <c r="H28" s="453">
        <f t="shared" si="14"/>
        <v>127398.79562145722</v>
      </c>
      <c r="I28" s="473">
        <f t="shared" si="5"/>
        <v>0</v>
      </c>
      <c r="J28" s="473"/>
      <c r="K28" s="485"/>
      <c r="L28" s="476">
        <f t="shared" si="1"/>
        <v>0</v>
      </c>
      <c r="M28" s="485"/>
      <c r="N28" s="476">
        <f t="shared" si="3"/>
        <v>0</v>
      </c>
      <c r="O28" s="476">
        <f t="shared" si="4"/>
        <v>0</v>
      </c>
      <c r="P28" s="241"/>
    </row>
    <row r="29" spans="2:16" ht="12.5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802019.07225090161</v>
      </c>
      <c r="E29" s="482">
        <f t="shared" si="11"/>
        <v>29887.000256410251</v>
      </c>
      <c r="F29" s="483">
        <f t="shared" si="12"/>
        <v>772132.07199449139</v>
      </c>
      <c r="G29" s="484">
        <f t="shared" si="13"/>
        <v>123831.51463257273</v>
      </c>
      <c r="H29" s="453">
        <f t="shared" si="14"/>
        <v>123831.51463257273</v>
      </c>
      <c r="I29" s="473">
        <f t="shared" si="5"/>
        <v>0</v>
      </c>
      <c r="J29" s="473"/>
      <c r="K29" s="485"/>
      <c r="L29" s="476">
        <f t="shared" si="1"/>
        <v>0</v>
      </c>
      <c r="M29" s="485"/>
      <c r="N29" s="476">
        <f t="shared" si="3"/>
        <v>0</v>
      </c>
      <c r="O29" s="476">
        <f t="shared" si="4"/>
        <v>0</v>
      </c>
      <c r="P29" s="241"/>
    </row>
    <row r="30" spans="2:16" ht="12.5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772132.07199449139</v>
      </c>
      <c r="E30" s="482">
        <f t="shared" si="11"/>
        <v>29887.000256410251</v>
      </c>
      <c r="F30" s="483">
        <f t="shared" si="12"/>
        <v>742245.07173808117</v>
      </c>
      <c r="G30" s="484">
        <f t="shared" si="13"/>
        <v>120264.23364368819</v>
      </c>
      <c r="H30" s="453">
        <f t="shared" si="14"/>
        <v>120264.23364368819</v>
      </c>
      <c r="I30" s="473">
        <f t="shared" si="5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 ht="12.5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742245.07173808117</v>
      </c>
      <c r="E31" s="482">
        <f t="shared" si="11"/>
        <v>29887.000256410251</v>
      </c>
      <c r="F31" s="483">
        <f t="shared" si="12"/>
        <v>712358.07148167095</v>
      </c>
      <c r="G31" s="484">
        <f t="shared" si="13"/>
        <v>116696.95265480368</v>
      </c>
      <c r="H31" s="453">
        <f t="shared" si="14"/>
        <v>116696.95265480368</v>
      </c>
      <c r="I31" s="473">
        <f t="shared" si="5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 ht="12.5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712358.07148167095</v>
      </c>
      <c r="E32" s="482">
        <f t="shared" si="11"/>
        <v>29887.000256410251</v>
      </c>
      <c r="F32" s="483">
        <f t="shared" si="12"/>
        <v>682471.07122526073</v>
      </c>
      <c r="G32" s="484">
        <f t="shared" si="13"/>
        <v>113129.67166591914</v>
      </c>
      <c r="H32" s="453">
        <f t="shared" si="14"/>
        <v>113129.67166591914</v>
      </c>
      <c r="I32" s="473">
        <f t="shared" si="5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 ht="12.5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682471.07122526073</v>
      </c>
      <c r="E33" s="482">
        <f t="shared" si="11"/>
        <v>29887.000256410251</v>
      </c>
      <c r="F33" s="483">
        <f t="shared" si="12"/>
        <v>652584.07096885052</v>
      </c>
      <c r="G33" s="484">
        <f t="shared" si="13"/>
        <v>109562.39067703465</v>
      </c>
      <c r="H33" s="453">
        <f t="shared" si="14"/>
        <v>109562.39067703465</v>
      </c>
      <c r="I33" s="473">
        <f t="shared" si="5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 ht="12.5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652584.07096885052</v>
      </c>
      <c r="E34" s="482">
        <f t="shared" si="11"/>
        <v>29887.000256410251</v>
      </c>
      <c r="F34" s="483">
        <f t="shared" si="12"/>
        <v>622697.0707124403</v>
      </c>
      <c r="G34" s="484">
        <f t="shared" si="13"/>
        <v>105995.10968815011</v>
      </c>
      <c r="H34" s="453">
        <f t="shared" si="14"/>
        <v>105995.10968815011</v>
      </c>
      <c r="I34" s="473">
        <f t="shared" si="5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 ht="12.5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622697.0707124403</v>
      </c>
      <c r="E35" s="482">
        <f t="shared" si="11"/>
        <v>29887.000256410251</v>
      </c>
      <c r="F35" s="483">
        <f t="shared" si="12"/>
        <v>592810.07045603008</v>
      </c>
      <c r="G35" s="484">
        <f t="shared" si="13"/>
        <v>102427.82869926561</v>
      </c>
      <c r="H35" s="453">
        <f t="shared" si="14"/>
        <v>102427.82869926561</v>
      </c>
      <c r="I35" s="473">
        <f t="shared" si="5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 ht="12.5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592810.07045603008</v>
      </c>
      <c r="E36" s="482">
        <f t="shared" si="11"/>
        <v>29887.000256410251</v>
      </c>
      <c r="F36" s="483">
        <f t="shared" si="12"/>
        <v>562923.07019961986</v>
      </c>
      <c r="G36" s="484">
        <f t="shared" si="13"/>
        <v>98860.54771038107</v>
      </c>
      <c r="H36" s="453">
        <f t="shared" si="14"/>
        <v>98860.54771038107</v>
      </c>
      <c r="I36" s="473">
        <f t="shared" si="5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 ht="12.5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562923.07019961986</v>
      </c>
      <c r="E37" s="482">
        <f t="shared" si="11"/>
        <v>29887.000256410251</v>
      </c>
      <c r="F37" s="483">
        <f t="shared" si="12"/>
        <v>533036.06994320964</v>
      </c>
      <c r="G37" s="484">
        <f t="shared" si="13"/>
        <v>95293.266721496577</v>
      </c>
      <c r="H37" s="453">
        <f t="shared" si="14"/>
        <v>95293.266721496577</v>
      </c>
      <c r="I37" s="473">
        <f t="shared" si="5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 ht="12.5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533036.06994320964</v>
      </c>
      <c r="E38" s="482">
        <f t="shared" si="11"/>
        <v>29887.000256410251</v>
      </c>
      <c r="F38" s="483">
        <f t="shared" si="12"/>
        <v>503149.06968679937</v>
      </c>
      <c r="G38" s="484">
        <f t="shared" si="13"/>
        <v>91725.98573261204</v>
      </c>
      <c r="H38" s="453">
        <f t="shared" si="14"/>
        <v>91725.98573261204</v>
      </c>
      <c r="I38" s="473">
        <f t="shared" si="5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 ht="12.5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503149.06968679937</v>
      </c>
      <c r="E39" s="482">
        <f t="shared" si="11"/>
        <v>29887.000256410251</v>
      </c>
      <c r="F39" s="483">
        <f t="shared" si="12"/>
        <v>473262.06943038909</v>
      </c>
      <c r="G39" s="484">
        <f t="shared" si="13"/>
        <v>88158.704743727518</v>
      </c>
      <c r="H39" s="453">
        <f t="shared" si="14"/>
        <v>88158.704743727518</v>
      </c>
      <c r="I39" s="473">
        <f t="shared" si="5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 ht="12.5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473262.06943038909</v>
      </c>
      <c r="E40" s="482">
        <f t="shared" si="11"/>
        <v>29887.000256410251</v>
      </c>
      <c r="F40" s="483">
        <f t="shared" si="12"/>
        <v>443375.06917397882</v>
      </c>
      <c r="G40" s="484">
        <f t="shared" si="13"/>
        <v>84591.423754842996</v>
      </c>
      <c r="H40" s="453">
        <f t="shared" si="14"/>
        <v>84591.423754842996</v>
      </c>
      <c r="I40" s="473">
        <f t="shared" si="5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 ht="12.5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443375.06917397882</v>
      </c>
      <c r="E41" s="482">
        <f t="shared" si="11"/>
        <v>29887.000256410251</v>
      </c>
      <c r="F41" s="483">
        <f t="shared" si="12"/>
        <v>413488.06891756854</v>
      </c>
      <c r="G41" s="484">
        <f t="shared" si="13"/>
        <v>81024.142765958473</v>
      </c>
      <c r="H41" s="453">
        <f t="shared" si="14"/>
        <v>81024.142765958473</v>
      </c>
      <c r="I41" s="473">
        <f t="shared" si="5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 ht="12.5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413488.06891756854</v>
      </c>
      <c r="E42" s="482">
        <f t="shared" si="11"/>
        <v>29887.000256410251</v>
      </c>
      <c r="F42" s="483">
        <f t="shared" si="12"/>
        <v>383601.06866115826</v>
      </c>
      <c r="G42" s="484">
        <f t="shared" si="13"/>
        <v>77456.861777073937</v>
      </c>
      <c r="H42" s="453">
        <f t="shared" si="14"/>
        <v>77456.861777073937</v>
      </c>
      <c r="I42" s="473">
        <f t="shared" si="5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 ht="12.5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383601.06866115826</v>
      </c>
      <c r="E43" s="482">
        <f t="shared" si="11"/>
        <v>29887.000256410251</v>
      </c>
      <c r="F43" s="483">
        <f t="shared" si="12"/>
        <v>353714.06840474799</v>
      </c>
      <c r="G43" s="484">
        <f t="shared" si="13"/>
        <v>73889.580788189414</v>
      </c>
      <c r="H43" s="453">
        <f t="shared" si="14"/>
        <v>73889.580788189414</v>
      </c>
      <c r="I43" s="473">
        <f t="shared" si="5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 ht="12.5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353714.06840474799</v>
      </c>
      <c r="E44" s="482">
        <f t="shared" si="11"/>
        <v>29887.000256410251</v>
      </c>
      <c r="F44" s="483">
        <f t="shared" si="12"/>
        <v>323827.06814833771</v>
      </c>
      <c r="G44" s="484">
        <f t="shared" si="13"/>
        <v>70322.299799304892</v>
      </c>
      <c r="H44" s="453">
        <f t="shared" si="14"/>
        <v>70322.299799304892</v>
      </c>
      <c r="I44" s="473">
        <f t="shared" si="5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 ht="12.5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323827.06814833771</v>
      </c>
      <c r="E45" s="482">
        <f t="shared" si="11"/>
        <v>29887.000256410251</v>
      </c>
      <c r="F45" s="483">
        <f t="shared" si="12"/>
        <v>293940.06789192744</v>
      </c>
      <c r="G45" s="484">
        <f t="shared" si="13"/>
        <v>66755.01881042037</v>
      </c>
      <c r="H45" s="453">
        <f t="shared" si="14"/>
        <v>66755.01881042037</v>
      </c>
      <c r="I45" s="473">
        <f t="shared" si="5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 ht="12.5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293940.06789192744</v>
      </c>
      <c r="E46" s="482">
        <f t="shared" si="11"/>
        <v>29887.000256410251</v>
      </c>
      <c r="F46" s="483">
        <f t="shared" si="12"/>
        <v>264053.06763551716</v>
      </c>
      <c r="G46" s="484">
        <f t="shared" si="13"/>
        <v>63187.737821535833</v>
      </c>
      <c r="H46" s="453">
        <f t="shared" si="14"/>
        <v>63187.737821535833</v>
      </c>
      <c r="I46" s="473">
        <f t="shared" si="5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 ht="12.5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264053.06763551716</v>
      </c>
      <c r="E47" s="482">
        <f t="shared" si="11"/>
        <v>29887.000256410251</v>
      </c>
      <c r="F47" s="483">
        <f t="shared" si="12"/>
        <v>234166.06737910691</v>
      </c>
      <c r="G47" s="484">
        <f t="shared" si="13"/>
        <v>59620.456832651318</v>
      </c>
      <c r="H47" s="453">
        <f t="shared" si="14"/>
        <v>59620.456832651318</v>
      </c>
      <c r="I47" s="473">
        <f t="shared" si="5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 ht="12.5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234166.06737910691</v>
      </c>
      <c r="E48" s="482">
        <f t="shared" si="11"/>
        <v>29887.000256410251</v>
      </c>
      <c r="F48" s="483">
        <f t="shared" si="12"/>
        <v>204279.06712269667</v>
      </c>
      <c r="G48" s="484">
        <f t="shared" si="13"/>
        <v>56053.175843766789</v>
      </c>
      <c r="H48" s="453">
        <f t="shared" si="14"/>
        <v>56053.175843766789</v>
      </c>
      <c r="I48" s="473">
        <f t="shared" si="5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 ht="12.5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204279.06712269667</v>
      </c>
      <c r="E49" s="482">
        <f t="shared" si="11"/>
        <v>29887.000256410251</v>
      </c>
      <c r="F49" s="483">
        <f t="shared" si="12"/>
        <v>174392.06686628642</v>
      </c>
      <c r="G49" s="484">
        <f t="shared" si="13"/>
        <v>52485.894854882274</v>
      </c>
      <c r="H49" s="453">
        <f t="shared" si="14"/>
        <v>52485.894854882274</v>
      </c>
      <c r="I49" s="473">
        <f t="shared" si="5"/>
        <v>0</v>
      </c>
      <c r="J49" s="473"/>
      <c r="K49" s="485"/>
      <c r="L49" s="476">
        <f t="shared" si="1"/>
        <v>0</v>
      </c>
      <c r="M49" s="485"/>
      <c r="N49" s="476">
        <f t="shared" si="3"/>
        <v>0</v>
      </c>
      <c r="O49" s="476">
        <f t="shared" si="4"/>
        <v>0</v>
      </c>
      <c r="P49" s="241"/>
    </row>
    <row r="50" spans="2:16" ht="12.5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174392.06686628642</v>
      </c>
      <c r="E50" s="482">
        <f t="shared" si="11"/>
        <v>29887.000256410251</v>
      </c>
      <c r="F50" s="483">
        <f t="shared" si="12"/>
        <v>144505.06660987617</v>
      </c>
      <c r="G50" s="484">
        <f t="shared" si="13"/>
        <v>48918.613865997744</v>
      </c>
      <c r="H50" s="453">
        <f t="shared" si="14"/>
        <v>48918.613865997744</v>
      </c>
      <c r="I50" s="473">
        <f t="shared" si="5"/>
        <v>0</v>
      </c>
      <c r="J50" s="473"/>
      <c r="K50" s="485"/>
      <c r="L50" s="476">
        <f t="shared" si="1"/>
        <v>0</v>
      </c>
      <c r="M50" s="485"/>
      <c r="N50" s="476">
        <f t="shared" si="3"/>
        <v>0</v>
      </c>
      <c r="O50" s="476">
        <f t="shared" si="4"/>
        <v>0</v>
      </c>
      <c r="P50" s="241"/>
    </row>
    <row r="51" spans="2:16" ht="12.5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144505.06660987617</v>
      </c>
      <c r="E51" s="482">
        <f t="shared" si="11"/>
        <v>29887.000256410251</v>
      </c>
      <c r="F51" s="483">
        <f t="shared" si="12"/>
        <v>114618.06635346593</v>
      </c>
      <c r="G51" s="484">
        <f t="shared" si="13"/>
        <v>45351.332877113229</v>
      </c>
      <c r="H51" s="453">
        <f t="shared" si="14"/>
        <v>45351.332877113229</v>
      </c>
      <c r="I51" s="473">
        <f t="shared" si="5"/>
        <v>0</v>
      </c>
      <c r="J51" s="473"/>
      <c r="K51" s="485"/>
      <c r="L51" s="476">
        <f t="shared" si="1"/>
        <v>0</v>
      </c>
      <c r="M51" s="485"/>
      <c r="N51" s="476">
        <f t="shared" si="3"/>
        <v>0</v>
      </c>
      <c r="O51" s="476">
        <f t="shared" si="4"/>
        <v>0</v>
      </c>
      <c r="P51" s="241"/>
    </row>
    <row r="52" spans="2:16" ht="12.5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114618.06635346593</v>
      </c>
      <c r="E52" s="482">
        <f t="shared" si="11"/>
        <v>29887.000256410251</v>
      </c>
      <c r="F52" s="483">
        <f t="shared" si="12"/>
        <v>84731.066097055678</v>
      </c>
      <c r="G52" s="484">
        <f t="shared" si="13"/>
        <v>41784.051888228707</v>
      </c>
      <c r="H52" s="453">
        <f t="shared" si="14"/>
        <v>41784.051888228707</v>
      </c>
      <c r="I52" s="473">
        <f t="shared" si="5"/>
        <v>0</v>
      </c>
      <c r="J52" s="473"/>
      <c r="K52" s="485"/>
      <c r="L52" s="476">
        <f t="shared" si="1"/>
        <v>0</v>
      </c>
      <c r="M52" s="485"/>
      <c r="N52" s="476">
        <f t="shared" si="3"/>
        <v>0</v>
      </c>
      <c r="O52" s="476">
        <f t="shared" si="4"/>
        <v>0</v>
      </c>
      <c r="P52" s="241"/>
    </row>
    <row r="53" spans="2:16" ht="12.5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84731.066097055678</v>
      </c>
      <c r="E53" s="482">
        <f t="shared" si="11"/>
        <v>29887.000256410251</v>
      </c>
      <c r="F53" s="483">
        <f t="shared" si="12"/>
        <v>54844.065840645431</v>
      </c>
      <c r="G53" s="484">
        <f t="shared" si="13"/>
        <v>38216.770899344185</v>
      </c>
      <c r="H53" s="453">
        <f t="shared" si="14"/>
        <v>38216.770899344185</v>
      </c>
      <c r="I53" s="473">
        <f t="shared" si="5"/>
        <v>0</v>
      </c>
      <c r="J53" s="473"/>
      <c r="K53" s="485"/>
      <c r="L53" s="476">
        <f t="shared" si="1"/>
        <v>0</v>
      </c>
      <c r="M53" s="485"/>
      <c r="N53" s="476">
        <f t="shared" si="3"/>
        <v>0</v>
      </c>
      <c r="O53" s="476">
        <f t="shared" si="4"/>
        <v>0</v>
      </c>
      <c r="P53" s="241"/>
    </row>
    <row r="54" spans="2:16" ht="12.5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54844.065840645431</v>
      </c>
      <c r="E54" s="482">
        <f t="shared" si="11"/>
        <v>29887.000256410251</v>
      </c>
      <c r="F54" s="483">
        <f t="shared" si="12"/>
        <v>24957.065584235181</v>
      </c>
      <c r="G54" s="484">
        <f t="shared" si="13"/>
        <v>34649.489910459662</v>
      </c>
      <c r="H54" s="453">
        <f t="shared" si="14"/>
        <v>34649.489910459662</v>
      </c>
      <c r="I54" s="473">
        <f t="shared" si="5"/>
        <v>0</v>
      </c>
      <c r="J54" s="473"/>
      <c r="K54" s="485"/>
      <c r="L54" s="476">
        <f t="shared" si="1"/>
        <v>0</v>
      </c>
      <c r="M54" s="485"/>
      <c r="N54" s="476">
        <f t="shared" si="3"/>
        <v>0</v>
      </c>
      <c r="O54" s="476">
        <f t="shared" si="4"/>
        <v>0</v>
      </c>
      <c r="P54" s="241"/>
    </row>
    <row r="55" spans="2:16" ht="12.5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24957.065584235181</v>
      </c>
      <c r="E55" s="482">
        <f t="shared" si="11"/>
        <v>24957.065584235181</v>
      </c>
      <c r="F55" s="483">
        <f t="shared" si="12"/>
        <v>0</v>
      </c>
      <c r="G55" s="484">
        <f t="shared" si="13"/>
        <v>26446.490164038754</v>
      </c>
      <c r="H55" s="453">
        <f t="shared" si="14"/>
        <v>26446.490164038754</v>
      </c>
      <c r="I55" s="473">
        <f t="shared" si="5"/>
        <v>0</v>
      </c>
      <c r="J55" s="473"/>
      <c r="K55" s="485"/>
      <c r="L55" s="476">
        <f t="shared" si="1"/>
        <v>0</v>
      </c>
      <c r="M55" s="485"/>
      <c r="N55" s="476">
        <f t="shared" si="3"/>
        <v>0</v>
      </c>
      <c r="O55" s="476">
        <f t="shared" si="4"/>
        <v>0</v>
      </c>
      <c r="P55" s="241"/>
    </row>
    <row r="56" spans="2:16" ht="12.5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0</v>
      </c>
      <c r="E56" s="482">
        <f t="shared" si="11"/>
        <v>0</v>
      </c>
      <c r="F56" s="483">
        <f t="shared" si="12"/>
        <v>0</v>
      </c>
      <c r="G56" s="484">
        <f t="shared" si="13"/>
        <v>0</v>
      </c>
      <c r="H56" s="453">
        <f t="shared" si="14"/>
        <v>0</v>
      </c>
      <c r="I56" s="473">
        <f t="shared" si="5"/>
        <v>0</v>
      </c>
      <c r="J56" s="473"/>
      <c r="K56" s="485"/>
      <c r="L56" s="476">
        <f t="shared" si="1"/>
        <v>0</v>
      </c>
      <c r="M56" s="485"/>
      <c r="N56" s="476">
        <f t="shared" si="3"/>
        <v>0</v>
      </c>
      <c r="O56" s="476">
        <f t="shared" si="4"/>
        <v>0</v>
      </c>
      <c r="P56" s="241"/>
    </row>
    <row r="57" spans="2:16" ht="12.5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1"/>
        <v>0</v>
      </c>
      <c r="F57" s="483">
        <f t="shared" si="12"/>
        <v>0</v>
      </c>
      <c r="G57" s="484">
        <f t="shared" si="13"/>
        <v>0</v>
      </c>
      <c r="H57" s="453">
        <f t="shared" si="14"/>
        <v>0</v>
      </c>
      <c r="I57" s="473">
        <f t="shared" si="5"/>
        <v>0</v>
      </c>
      <c r="J57" s="473"/>
      <c r="K57" s="485"/>
      <c r="L57" s="476">
        <f t="shared" si="1"/>
        <v>0</v>
      </c>
      <c r="M57" s="485"/>
      <c r="N57" s="476">
        <f t="shared" si="3"/>
        <v>0</v>
      </c>
      <c r="O57" s="476">
        <f t="shared" si="4"/>
        <v>0</v>
      </c>
      <c r="P57" s="241"/>
    </row>
    <row r="58" spans="2:16" ht="12.5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1"/>
        <v>0</v>
      </c>
      <c r="F58" s="483">
        <f t="shared" si="12"/>
        <v>0</v>
      </c>
      <c r="G58" s="484">
        <f t="shared" si="13"/>
        <v>0</v>
      </c>
      <c r="H58" s="453">
        <f t="shared" si="14"/>
        <v>0</v>
      </c>
      <c r="I58" s="473">
        <f t="shared" si="5"/>
        <v>0</v>
      </c>
      <c r="J58" s="473"/>
      <c r="K58" s="485"/>
      <c r="L58" s="476">
        <f t="shared" si="1"/>
        <v>0</v>
      </c>
      <c r="M58" s="485"/>
      <c r="N58" s="476">
        <f t="shared" si="3"/>
        <v>0</v>
      </c>
      <c r="O58" s="476">
        <f t="shared" si="4"/>
        <v>0</v>
      </c>
      <c r="P58" s="241"/>
    </row>
    <row r="59" spans="2:16" ht="12.5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1"/>
        <v>0</v>
      </c>
      <c r="F59" s="483">
        <f t="shared" si="12"/>
        <v>0</v>
      </c>
      <c r="G59" s="484">
        <f t="shared" si="13"/>
        <v>0</v>
      </c>
      <c r="H59" s="453">
        <f t="shared" si="14"/>
        <v>0</v>
      </c>
      <c r="I59" s="473">
        <f t="shared" si="5"/>
        <v>0</v>
      </c>
      <c r="J59" s="473"/>
      <c r="K59" s="485"/>
      <c r="L59" s="476">
        <f t="shared" si="1"/>
        <v>0</v>
      </c>
      <c r="M59" s="485"/>
      <c r="N59" s="476">
        <f t="shared" si="3"/>
        <v>0</v>
      </c>
      <c r="O59" s="476">
        <f t="shared" si="4"/>
        <v>0</v>
      </c>
      <c r="P59" s="241"/>
    </row>
    <row r="60" spans="2:16" ht="12.5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1"/>
        <v>0</v>
      </c>
      <c r="F60" s="483">
        <f t="shared" si="12"/>
        <v>0</v>
      </c>
      <c r="G60" s="484">
        <f t="shared" si="13"/>
        <v>0</v>
      </c>
      <c r="H60" s="453">
        <f t="shared" si="14"/>
        <v>0</v>
      </c>
      <c r="I60" s="473">
        <f t="shared" si="5"/>
        <v>0</v>
      </c>
      <c r="J60" s="473"/>
      <c r="K60" s="485"/>
      <c r="L60" s="476">
        <f t="shared" si="1"/>
        <v>0</v>
      </c>
      <c r="M60" s="485"/>
      <c r="N60" s="476">
        <f t="shared" si="3"/>
        <v>0</v>
      </c>
      <c r="O60" s="476">
        <f t="shared" si="4"/>
        <v>0</v>
      </c>
      <c r="P60" s="241"/>
    </row>
    <row r="61" spans="2:16" ht="12.5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1"/>
        <v>0</v>
      </c>
      <c r="F61" s="483">
        <f t="shared" si="12"/>
        <v>0</v>
      </c>
      <c r="G61" s="484">
        <f t="shared" si="13"/>
        <v>0</v>
      </c>
      <c r="H61" s="453">
        <f t="shared" si="14"/>
        <v>0</v>
      </c>
      <c r="I61" s="473">
        <f t="shared" si="5"/>
        <v>0</v>
      </c>
      <c r="J61" s="473"/>
      <c r="K61" s="485"/>
      <c r="L61" s="476">
        <f t="shared" si="1"/>
        <v>0</v>
      </c>
      <c r="M61" s="485"/>
      <c r="N61" s="476">
        <f t="shared" si="3"/>
        <v>0</v>
      </c>
      <c r="O61" s="476">
        <f t="shared" si="4"/>
        <v>0</v>
      </c>
      <c r="P61" s="241"/>
    </row>
    <row r="62" spans="2:16" ht="12.5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1"/>
        <v>0</v>
      </c>
      <c r="F62" s="483">
        <f t="shared" si="12"/>
        <v>0</v>
      </c>
      <c r="G62" s="484">
        <f t="shared" si="13"/>
        <v>0</v>
      </c>
      <c r="H62" s="453">
        <f t="shared" si="14"/>
        <v>0</v>
      </c>
      <c r="I62" s="473">
        <f t="shared" si="5"/>
        <v>0</v>
      </c>
      <c r="J62" s="473"/>
      <c r="K62" s="485"/>
      <c r="L62" s="476">
        <f t="shared" si="1"/>
        <v>0</v>
      </c>
      <c r="M62" s="485"/>
      <c r="N62" s="476">
        <f t="shared" si="3"/>
        <v>0</v>
      </c>
      <c r="O62" s="476">
        <f t="shared" si="4"/>
        <v>0</v>
      </c>
      <c r="P62" s="241"/>
    </row>
    <row r="63" spans="2:16" ht="12.5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1"/>
        <v>0</v>
      </c>
      <c r="F63" s="483">
        <f t="shared" si="12"/>
        <v>0</v>
      </c>
      <c r="G63" s="484">
        <f t="shared" si="13"/>
        <v>0</v>
      </c>
      <c r="H63" s="453">
        <f t="shared" si="14"/>
        <v>0</v>
      </c>
      <c r="I63" s="473">
        <f t="shared" si="5"/>
        <v>0</v>
      </c>
      <c r="J63" s="473"/>
      <c r="K63" s="485"/>
      <c r="L63" s="476">
        <f t="shared" si="1"/>
        <v>0</v>
      </c>
      <c r="M63" s="485"/>
      <c r="N63" s="476">
        <f t="shared" si="3"/>
        <v>0</v>
      </c>
      <c r="O63" s="476">
        <f t="shared" si="4"/>
        <v>0</v>
      </c>
      <c r="P63" s="241"/>
    </row>
    <row r="64" spans="2:16" ht="12.5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1"/>
        <v>0</v>
      </c>
      <c r="F64" s="483">
        <f t="shared" si="12"/>
        <v>0</v>
      </c>
      <c r="G64" s="484">
        <f t="shared" si="13"/>
        <v>0</v>
      </c>
      <c r="H64" s="453">
        <f t="shared" si="14"/>
        <v>0</v>
      </c>
      <c r="I64" s="473">
        <f t="shared" si="5"/>
        <v>0</v>
      </c>
      <c r="J64" s="473"/>
      <c r="K64" s="485"/>
      <c r="L64" s="476">
        <f t="shared" si="1"/>
        <v>0</v>
      </c>
      <c r="M64" s="485"/>
      <c r="N64" s="476">
        <f t="shared" si="3"/>
        <v>0</v>
      </c>
      <c r="O64" s="476">
        <f t="shared" si="4"/>
        <v>0</v>
      </c>
      <c r="P64" s="241"/>
    </row>
    <row r="65" spans="2:16" ht="12.5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1"/>
        <v>0</v>
      </c>
      <c r="F65" s="483">
        <f t="shared" si="12"/>
        <v>0</v>
      </c>
      <c r="G65" s="484">
        <f t="shared" si="13"/>
        <v>0</v>
      </c>
      <c r="H65" s="453">
        <f t="shared" si="14"/>
        <v>0</v>
      </c>
      <c r="I65" s="473">
        <f t="shared" si="5"/>
        <v>0</v>
      </c>
      <c r="J65" s="473"/>
      <c r="K65" s="485"/>
      <c r="L65" s="476">
        <f t="shared" si="1"/>
        <v>0</v>
      </c>
      <c r="M65" s="485"/>
      <c r="N65" s="476">
        <f t="shared" si="3"/>
        <v>0</v>
      </c>
      <c r="O65" s="476">
        <f t="shared" si="4"/>
        <v>0</v>
      </c>
      <c r="P65" s="241"/>
    </row>
    <row r="66" spans="2:16" ht="12.5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1"/>
        <v>0</v>
      </c>
      <c r="F66" s="483">
        <f t="shared" si="12"/>
        <v>0</v>
      </c>
      <c r="G66" s="484">
        <f t="shared" si="13"/>
        <v>0</v>
      </c>
      <c r="H66" s="453">
        <f t="shared" si="14"/>
        <v>0</v>
      </c>
      <c r="I66" s="473">
        <f t="shared" si="5"/>
        <v>0</v>
      </c>
      <c r="J66" s="473"/>
      <c r="K66" s="485"/>
      <c r="L66" s="476">
        <f t="shared" si="1"/>
        <v>0</v>
      </c>
      <c r="M66" s="485"/>
      <c r="N66" s="476">
        <f t="shared" si="3"/>
        <v>0</v>
      </c>
      <c r="O66" s="476">
        <f t="shared" si="4"/>
        <v>0</v>
      </c>
      <c r="P66" s="241"/>
    </row>
    <row r="67" spans="2:16" ht="12.5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1"/>
        <v>0</v>
      </c>
      <c r="F67" s="483">
        <f t="shared" si="12"/>
        <v>0</v>
      </c>
      <c r="G67" s="484">
        <f t="shared" si="13"/>
        <v>0</v>
      </c>
      <c r="H67" s="453">
        <f t="shared" si="14"/>
        <v>0</v>
      </c>
      <c r="I67" s="473">
        <f t="shared" si="5"/>
        <v>0</v>
      </c>
      <c r="J67" s="473"/>
      <c r="K67" s="485"/>
      <c r="L67" s="476">
        <f t="shared" si="1"/>
        <v>0</v>
      </c>
      <c r="M67" s="485"/>
      <c r="N67" s="476">
        <f t="shared" si="3"/>
        <v>0</v>
      </c>
      <c r="O67" s="476">
        <f t="shared" si="4"/>
        <v>0</v>
      </c>
      <c r="P67" s="241"/>
    </row>
    <row r="68" spans="2:16" ht="12.5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1"/>
        <v>0</v>
      </c>
      <c r="F68" s="483">
        <f t="shared" si="12"/>
        <v>0</v>
      </c>
      <c r="G68" s="484">
        <f t="shared" si="13"/>
        <v>0</v>
      </c>
      <c r="H68" s="453">
        <f t="shared" si="14"/>
        <v>0</v>
      </c>
      <c r="I68" s="473">
        <f t="shared" si="5"/>
        <v>0</v>
      </c>
      <c r="J68" s="473"/>
      <c r="K68" s="485"/>
      <c r="L68" s="476">
        <f t="shared" si="1"/>
        <v>0</v>
      </c>
      <c r="M68" s="485"/>
      <c r="N68" s="476">
        <f t="shared" si="3"/>
        <v>0</v>
      </c>
      <c r="O68" s="476">
        <f t="shared" si="4"/>
        <v>0</v>
      </c>
      <c r="P68" s="241"/>
    </row>
    <row r="69" spans="2:16" ht="12.5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1"/>
        <v>0</v>
      </c>
      <c r="F69" s="483">
        <f t="shared" si="12"/>
        <v>0</v>
      </c>
      <c r="G69" s="484">
        <f t="shared" si="13"/>
        <v>0</v>
      </c>
      <c r="H69" s="453">
        <f t="shared" si="14"/>
        <v>0</v>
      </c>
      <c r="I69" s="473">
        <f t="shared" si="5"/>
        <v>0</v>
      </c>
      <c r="J69" s="473"/>
      <c r="K69" s="485"/>
      <c r="L69" s="476">
        <f t="shared" si="1"/>
        <v>0</v>
      </c>
      <c r="M69" s="485"/>
      <c r="N69" s="476">
        <f t="shared" si="3"/>
        <v>0</v>
      </c>
      <c r="O69" s="476">
        <f t="shared" si="4"/>
        <v>0</v>
      </c>
      <c r="P69" s="241"/>
    </row>
    <row r="70" spans="2:16" ht="12.5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1"/>
        <v>0</v>
      </c>
      <c r="F70" s="483">
        <f t="shared" si="12"/>
        <v>0</v>
      </c>
      <c r="G70" s="484">
        <f t="shared" si="13"/>
        <v>0</v>
      </c>
      <c r="H70" s="453">
        <f t="shared" si="14"/>
        <v>0</v>
      </c>
      <c r="I70" s="473">
        <f t="shared" si="5"/>
        <v>0</v>
      </c>
      <c r="J70" s="473"/>
      <c r="K70" s="485"/>
      <c r="L70" s="476">
        <f t="shared" si="1"/>
        <v>0</v>
      </c>
      <c r="M70" s="485"/>
      <c r="N70" s="476">
        <f t="shared" si="3"/>
        <v>0</v>
      </c>
      <c r="O70" s="476">
        <f t="shared" si="4"/>
        <v>0</v>
      </c>
      <c r="P70" s="241"/>
    </row>
    <row r="71" spans="2:16" ht="12.5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1"/>
        <v>0</v>
      </c>
      <c r="F71" s="483">
        <f t="shared" si="12"/>
        <v>0</v>
      </c>
      <c r="G71" s="484">
        <f t="shared" si="13"/>
        <v>0</v>
      </c>
      <c r="H71" s="453">
        <f t="shared" si="14"/>
        <v>0</v>
      </c>
      <c r="I71" s="473">
        <f t="shared" si="5"/>
        <v>0</v>
      </c>
      <c r="J71" s="473"/>
      <c r="K71" s="485"/>
      <c r="L71" s="476">
        <f t="shared" si="1"/>
        <v>0</v>
      </c>
      <c r="M71" s="485"/>
      <c r="N71" s="476">
        <f t="shared" si="3"/>
        <v>0</v>
      </c>
      <c r="O71" s="476">
        <f t="shared" si="4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2073</v>
      </c>
      <c r="D72" s="609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"/>
        <v>0</v>
      </c>
      <c r="M72" s="492"/>
      <c r="N72" s="493">
        <f t="shared" si="3"/>
        <v>0</v>
      </c>
      <c r="O72" s="493">
        <f t="shared" si="4"/>
        <v>0</v>
      </c>
      <c r="P72" s="241"/>
    </row>
    <row r="73" spans="2:16" ht="12.5">
      <c r="C73" s="345" t="s">
        <v>77</v>
      </c>
      <c r="D73" s="346"/>
      <c r="E73" s="346">
        <f>SUM(E17:E72)</f>
        <v>1165593.01</v>
      </c>
      <c r="F73" s="346"/>
      <c r="G73" s="346">
        <f>SUM(G17:G72)</f>
        <v>3882302.1239122567</v>
      </c>
      <c r="H73" s="346">
        <f>SUM(H17:H72)</f>
        <v>3882302.1239122567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23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148802.48155476435</v>
      </c>
      <c r="N87" s="506">
        <f>IF(J92&lt;D11,0,VLOOKUP(J92,C17:O72,11))</f>
        <v>148802.48155476435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146668.31804907569</v>
      </c>
      <c r="N88" s="510">
        <f>IF(J92&lt;D11,0,VLOOKUP(J92,C99:P154,7))</f>
        <v>146668.31804907569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Elk City 138KV Move Load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-2134.1635056886589</v>
      </c>
      <c r="N89" s="515">
        <f>+N88-N87</f>
        <v>-2134.1635056886589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TP2011110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1165593.0099999998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5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30674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2018</v>
      </c>
      <c r="D99" s="582">
        <v>0</v>
      </c>
      <c r="E99" s="605">
        <v>20674.5</v>
      </c>
      <c r="F99" s="582">
        <v>1757325.5</v>
      </c>
      <c r="G99" s="605">
        <v>878662.75</v>
      </c>
      <c r="H99" s="585">
        <v>110944.41567094853</v>
      </c>
      <c r="I99" s="604">
        <v>110944.41567094853</v>
      </c>
      <c r="J99" s="476">
        <f>+I99-H99</f>
        <v>0</v>
      </c>
      <c r="K99" s="476"/>
      <c r="L99" s="475">
        <f>+H99</f>
        <v>110944.41567094853</v>
      </c>
      <c r="M99" s="475">
        <f t="shared" ref="M99" si="15">IF(L99&lt;&gt;0,+H99-L99,0)</f>
        <v>0</v>
      </c>
      <c r="N99" s="475">
        <f>+I99</f>
        <v>110944.41567094853</v>
      </c>
      <c r="O99" s="475">
        <f t="shared" ref="O99" si="16">IF(N99&lt;&gt;0,+I99-N99,0)</f>
        <v>0</v>
      </c>
      <c r="P99" s="475">
        <f t="shared" ref="P99" si="17">+O99-M99</f>
        <v>0</v>
      </c>
    </row>
    <row r="100" spans="1:16" ht="12.5">
      <c r="B100" s="160" t="str">
        <f>IF(D100=F99,"","IU")</f>
        <v>IU</v>
      </c>
      <c r="C100" s="470">
        <f>IF(D93="","-",+C99+1)</f>
        <v>2019</v>
      </c>
      <c r="D100" s="582">
        <v>1155505.5</v>
      </c>
      <c r="E100" s="583">
        <v>28687</v>
      </c>
      <c r="F100" s="584">
        <v>1126818.5</v>
      </c>
      <c r="G100" s="584">
        <v>1141162</v>
      </c>
      <c r="H100" s="603">
        <v>146356.80823022424</v>
      </c>
      <c r="I100" s="604">
        <v>146356.80823022424</v>
      </c>
      <c r="J100" s="476">
        <f t="shared" ref="J100:J130" si="18">+I100-H100</f>
        <v>0</v>
      </c>
      <c r="K100" s="476"/>
      <c r="L100" s="474">
        <f>H100</f>
        <v>146356.80823022424</v>
      </c>
      <c r="M100" s="347">
        <f>IF(L100&lt;&gt;0,+H100-L100,0)</f>
        <v>0</v>
      </c>
      <c r="N100" s="474">
        <f>I100</f>
        <v>146356.80823022424</v>
      </c>
      <c r="O100" s="476">
        <f t="shared" ref="O100:O130" si="19">IF(N100&lt;&gt;0,+I100-N100,0)</f>
        <v>0</v>
      </c>
      <c r="P100" s="476">
        <f t="shared" ref="P100:P130" si="20">+O100-M100</f>
        <v>0</v>
      </c>
    </row>
    <row r="101" spans="1:16" ht="12.5">
      <c r="B101" s="160" t="str">
        <f t="shared" ref="B101:B154" si="21">IF(D101=F100,"","IU")</f>
        <v>IU</v>
      </c>
      <c r="C101" s="470">
        <f>IF(D93="","-",+C100+1)</f>
        <v>2020</v>
      </c>
      <c r="D101" s="582">
        <v>1116231.5</v>
      </c>
      <c r="E101" s="583">
        <v>27107</v>
      </c>
      <c r="F101" s="584">
        <v>1089124.5</v>
      </c>
      <c r="G101" s="584">
        <v>1102678</v>
      </c>
      <c r="H101" s="603">
        <v>154242.74183680658</v>
      </c>
      <c r="I101" s="604">
        <v>154242.74183680658</v>
      </c>
      <c r="J101" s="476">
        <f t="shared" si="18"/>
        <v>0</v>
      </c>
      <c r="K101" s="476"/>
      <c r="L101" s="474">
        <f>H101</f>
        <v>154242.74183680658</v>
      </c>
      <c r="M101" s="347">
        <f>IF(L101&lt;&gt;0,+H101-L101,0)</f>
        <v>0</v>
      </c>
      <c r="N101" s="474">
        <f>I101</f>
        <v>154242.74183680658</v>
      </c>
      <c r="O101" s="476">
        <f t="shared" si="19"/>
        <v>0</v>
      </c>
      <c r="P101" s="476">
        <f t="shared" si="20"/>
        <v>0</v>
      </c>
    </row>
    <row r="102" spans="1:16" ht="12.5">
      <c r="B102" s="160" t="str">
        <f t="shared" si="21"/>
        <v/>
      </c>
      <c r="C102" s="470">
        <f>IF(D93="","-",+C101+1)</f>
        <v>2021</v>
      </c>
      <c r="D102" s="582">
        <v>1089124.5</v>
      </c>
      <c r="E102" s="583">
        <v>28429</v>
      </c>
      <c r="F102" s="584">
        <v>1060695.5</v>
      </c>
      <c r="G102" s="584">
        <v>1074910</v>
      </c>
      <c r="H102" s="603">
        <v>150746.01115745076</v>
      </c>
      <c r="I102" s="604">
        <v>150746.01115745076</v>
      </c>
      <c r="J102" s="476">
        <f t="shared" si="18"/>
        <v>0</v>
      </c>
      <c r="K102" s="476"/>
      <c r="L102" s="474">
        <f>H102</f>
        <v>150746.01115745076</v>
      </c>
      <c r="M102" s="347">
        <f>IF(L102&lt;&gt;0,+H102-L102,0)</f>
        <v>0</v>
      </c>
      <c r="N102" s="474">
        <f>I102</f>
        <v>150746.01115745076</v>
      </c>
      <c r="O102" s="476">
        <f t="shared" si="19"/>
        <v>0</v>
      </c>
      <c r="P102" s="476">
        <f t="shared" si="20"/>
        <v>0</v>
      </c>
    </row>
    <row r="103" spans="1:16" ht="12.5">
      <c r="B103" s="160" t="str">
        <f t="shared" si="21"/>
        <v/>
      </c>
      <c r="C103" s="470">
        <f>IF(D93="","-",+C102+1)</f>
        <v>2022</v>
      </c>
      <c r="D103" s="582">
        <v>1060695.5</v>
      </c>
      <c r="E103" s="583">
        <v>29887</v>
      </c>
      <c r="F103" s="584">
        <v>1030808.5</v>
      </c>
      <c r="G103" s="584">
        <v>1045752</v>
      </c>
      <c r="H103" s="603">
        <v>145110.72961001651</v>
      </c>
      <c r="I103" s="604">
        <v>145110.72961001651</v>
      </c>
      <c r="J103" s="476">
        <f t="shared" si="18"/>
        <v>0</v>
      </c>
      <c r="K103" s="476"/>
      <c r="L103" s="474">
        <f>H103</f>
        <v>145110.72961001651</v>
      </c>
      <c r="M103" s="347">
        <f>IF(L103&lt;&gt;0,+H103-L103,0)</f>
        <v>0</v>
      </c>
      <c r="N103" s="474">
        <f>I103</f>
        <v>145110.72961001651</v>
      </c>
      <c r="O103" s="476">
        <f t="shared" ref="O103" si="22">IF(N103&lt;&gt;0,+I103-N103,0)</f>
        <v>0</v>
      </c>
      <c r="P103" s="476">
        <f t="shared" ref="P103" si="23">+O103-M103</f>
        <v>0</v>
      </c>
    </row>
    <row r="104" spans="1:16" ht="12.5">
      <c r="B104" s="160" t="str">
        <f t="shared" si="21"/>
        <v>IU</v>
      </c>
      <c r="C104" s="470">
        <f>IF(D93="","-",+C103+1)</f>
        <v>2023</v>
      </c>
      <c r="D104" s="345">
        <f>IF(F103+SUM(E$99:E103)=D$92,F103,D$92-SUM(E$99:E103))</f>
        <v>1030808.5099999998</v>
      </c>
      <c r="E104" s="482">
        <f t="shared" ref="E104:E154" si="24">IF(+J$96&lt;F103,J$96,D104)</f>
        <v>30674</v>
      </c>
      <c r="F104" s="483">
        <f t="shared" ref="F104:F154" si="25">+D104-E104</f>
        <v>1000134.5099999998</v>
      </c>
      <c r="G104" s="483">
        <f t="shared" ref="G104:G154" si="26">+(F104+D104)/2</f>
        <v>1015471.5099999998</v>
      </c>
      <c r="H104" s="484">
        <f t="shared" ref="H104:H153" si="27">(D104+F104)/2*J$94+E104</f>
        <v>146668.31804907569</v>
      </c>
      <c r="I104" s="540">
        <f t="shared" ref="I104:I153" si="28">+J$95*G104+E104</f>
        <v>146668.31804907569</v>
      </c>
      <c r="J104" s="476">
        <f t="shared" si="18"/>
        <v>0</v>
      </c>
      <c r="K104" s="476"/>
      <c r="L104" s="485"/>
      <c r="M104" s="476">
        <f t="shared" ref="M104:M130" si="29">IF(L104&lt;&gt;0,+H104-L104,0)</f>
        <v>0</v>
      </c>
      <c r="N104" s="485"/>
      <c r="O104" s="476">
        <f t="shared" si="19"/>
        <v>0</v>
      </c>
      <c r="P104" s="476">
        <f t="shared" si="20"/>
        <v>0</v>
      </c>
    </row>
    <row r="105" spans="1:16" ht="12.5">
      <c r="B105" s="160" t="str">
        <f t="shared" si="21"/>
        <v/>
      </c>
      <c r="C105" s="470">
        <f>IF(D93="","-",+C104+1)</f>
        <v>2024</v>
      </c>
      <c r="D105" s="345">
        <f>IF(F104+SUM(E$99:E104)=D$92,F104,D$92-SUM(E$99:E104))</f>
        <v>1000134.5099999998</v>
      </c>
      <c r="E105" s="482">
        <f t="shared" si="24"/>
        <v>30674</v>
      </c>
      <c r="F105" s="483">
        <f t="shared" si="25"/>
        <v>969460.50999999978</v>
      </c>
      <c r="G105" s="483">
        <f t="shared" si="26"/>
        <v>984797.50999999978</v>
      </c>
      <c r="H105" s="484">
        <f t="shared" si="27"/>
        <v>143164.51742365258</v>
      </c>
      <c r="I105" s="540">
        <f t="shared" si="28"/>
        <v>143164.51742365258</v>
      </c>
      <c r="J105" s="476">
        <f t="shared" si="18"/>
        <v>0</v>
      </c>
      <c r="K105" s="476"/>
      <c r="L105" s="485"/>
      <c r="M105" s="476">
        <f t="shared" si="29"/>
        <v>0</v>
      </c>
      <c r="N105" s="485"/>
      <c r="O105" s="476">
        <f t="shared" si="19"/>
        <v>0</v>
      </c>
      <c r="P105" s="476">
        <f t="shared" si="20"/>
        <v>0</v>
      </c>
    </row>
    <row r="106" spans="1:16" ht="12.5">
      <c r="B106" s="160" t="str">
        <f t="shared" si="21"/>
        <v/>
      </c>
      <c r="C106" s="470">
        <f>IF(D93="","-",+C105+1)</f>
        <v>2025</v>
      </c>
      <c r="D106" s="345">
        <f>IF(F105+SUM(E$99:E105)=D$92,F105,D$92-SUM(E$99:E105))</f>
        <v>969460.50999999978</v>
      </c>
      <c r="E106" s="482">
        <f t="shared" si="24"/>
        <v>30674</v>
      </c>
      <c r="F106" s="483">
        <f t="shared" si="25"/>
        <v>938786.50999999978</v>
      </c>
      <c r="G106" s="483">
        <f t="shared" si="26"/>
        <v>954123.50999999978</v>
      </c>
      <c r="H106" s="484">
        <f t="shared" si="27"/>
        <v>139660.71679822949</v>
      </c>
      <c r="I106" s="540">
        <f t="shared" si="28"/>
        <v>139660.71679822949</v>
      </c>
      <c r="J106" s="476">
        <f t="shared" si="18"/>
        <v>0</v>
      </c>
      <c r="K106" s="476"/>
      <c r="L106" s="485"/>
      <c r="M106" s="476">
        <f t="shared" si="29"/>
        <v>0</v>
      </c>
      <c r="N106" s="485"/>
      <c r="O106" s="476">
        <f t="shared" si="19"/>
        <v>0</v>
      </c>
      <c r="P106" s="476">
        <f t="shared" si="20"/>
        <v>0</v>
      </c>
    </row>
    <row r="107" spans="1:16" ht="12.5">
      <c r="B107" s="160" t="str">
        <f t="shared" si="21"/>
        <v/>
      </c>
      <c r="C107" s="470">
        <f>IF(D93="","-",+C106+1)</f>
        <v>2026</v>
      </c>
      <c r="D107" s="345">
        <f>IF(F106+SUM(E$99:E106)=D$92,F106,D$92-SUM(E$99:E106))</f>
        <v>938786.50999999978</v>
      </c>
      <c r="E107" s="482">
        <f t="shared" si="24"/>
        <v>30674</v>
      </c>
      <c r="F107" s="483">
        <f t="shared" si="25"/>
        <v>908112.50999999978</v>
      </c>
      <c r="G107" s="483">
        <f t="shared" si="26"/>
        <v>923449.50999999978</v>
      </c>
      <c r="H107" s="484">
        <f t="shared" si="27"/>
        <v>136156.91617280635</v>
      </c>
      <c r="I107" s="540">
        <f t="shared" si="28"/>
        <v>136156.91617280635</v>
      </c>
      <c r="J107" s="476">
        <f t="shared" si="18"/>
        <v>0</v>
      </c>
      <c r="K107" s="476"/>
      <c r="L107" s="485"/>
      <c r="M107" s="476">
        <f t="shared" si="29"/>
        <v>0</v>
      </c>
      <c r="N107" s="485"/>
      <c r="O107" s="476">
        <f t="shared" si="19"/>
        <v>0</v>
      </c>
      <c r="P107" s="476">
        <f t="shared" si="20"/>
        <v>0</v>
      </c>
    </row>
    <row r="108" spans="1:16" ht="12.5">
      <c r="B108" s="160" t="str">
        <f t="shared" si="21"/>
        <v/>
      </c>
      <c r="C108" s="470">
        <f>IF(D93="","-",+C107+1)</f>
        <v>2027</v>
      </c>
      <c r="D108" s="345">
        <f>IF(F107+SUM(E$99:E107)=D$92,F107,D$92-SUM(E$99:E107))</f>
        <v>908112.50999999978</v>
      </c>
      <c r="E108" s="482">
        <f t="shared" si="24"/>
        <v>30674</v>
      </c>
      <c r="F108" s="483">
        <f t="shared" si="25"/>
        <v>877438.50999999978</v>
      </c>
      <c r="G108" s="483">
        <f t="shared" si="26"/>
        <v>892775.50999999978</v>
      </c>
      <c r="H108" s="484">
        <f t="shared" si="27"/>
        <v>132653.11554738326</v>
      </c>
      <c r="I108" s="540">
        <f t="shared" si="28"/>
        <v>132653.11554738326</v>
      </c>
      <c r="J108" s="476">
        <f t="shared" si="18"/>
        <v>0</v>
      </c>
      <c r="K108" s="476"/>
      <c r="L108" s="485"/>
      <c r="M108" s="476">
        <f t="shared" si="29"/>
        <v>0</v>
      </c>
      <c r="N108" s="485"/>
      <c r="O108" s="476">
        <f t="shared" si="19"/>
        <v>0</v>
      </c>
      <c r="P108" s="476">
        <f t="shared" si="20"/>
        <v>0</v>
      </c>
    </row>
    <row r="109" spans="1:16" ht="12.5">
      <c r="B109" s="160" t="str">
        <f t="shared" si="21"/>
        <v/>
      </c>
      <c r="C109" s="470">
        <f>IF(D93="","-",+C108+1)</f>
        <v>2028</v>
      </c>
      <c r="D109" s="345">
        <f>IF(F108+SUM(E$99:E108)=D$92,F108,D$92-SUM(E$99:E108))</f>
        <v>877438.50999999978</v>
      </c>
      <c r="E109" s="482">
        <f t="shared" si="24"/>
        <v>30674</v>
      </c>
      <c r="F109" s="483">
        <f t="shared" si="25"/>
        <v>846764.50999999978</v>
      </c>
      <c r="G109" s="483">
        <f t="shared" si="26"/>
        <v>862101.50999999978</v>
      </c>
      <c r="H109" s="484">
        <f t="shared" si="27"/>
        <v>129149.31492196015</v>
      </c>
      <c r="I109" s="540">
        <f t="shared" si="28"/>
        <v>129149.31492196015</v>
      </c>
      <c r="J109" s="476">
        <f t="shared" si="18"/>
        <v>0</v>
      </c>
      <c r="K109" s="476"/>
      <c r="L109" s="485"/>
      <c r="M109" s="476">
        <f t="shared" si="29"/>
        <v>0</v>
      </c>
      <c r="N109" s="485"/>
      <c r="O109" s="476">
        <f t="shared" si="19"/>
        <v>0</v>
      </c>
      <c r="P109" s="476">
        <f t="shared" si="20"/>
        <v>0</v>
      </c>
    </row>
    <row r="110" spans="1:16" ht="12.5">
      <c r="B110" s="160" t="str">
        <f t="shared" si="21"/>
        <v/>
      </c>
      <c r="C110" s="470">
        <f>IF(D93="","-",+C109+1)</f>
        <v>2029</v>
      </c>
      <c r="D110" s="345">
        <f>IF(F109+SUM(E$99:E109)=D$92,F109,D$92-SUM(E$99:E109))</f>
        <v>846764.50999999978</v>
      </c>
      <c r="E110" s="482">
        <f t="shared" si="24"/>
        <v>30674</v>
      </c>
      <c r="F110" s="483">
        <f t="shared" si="25"/>
        <v>816090.50999999978</v>
      </c>
      <c r="G110" s="483">
        <f t="shared" si="26"/>
        <v>831427.50999999978</v>
      </c>
      <c r="H110" s="484">
        <f t="shared" si="27"/>
        <v>125645.51429653705</v>
      </c>
      <c r="I110" s="540">
        <f t="shared" si="28"/>
        <v>125645.51429653705</v>
      </c>
      <c r="J110" s="476">
        <f t="shared" si="18"/>
        <v>0</v>
      </c>
      <c r="K110" s="476"/>
      <c r="L110" s="485"/>
      <c r="M110" s="476">
        <f t="shared" si="29"/>
        <v>0</v>
      </c>
      <c r="N110" s="485"/>
      <c r="O110" s="476">
        <f t="shared" si="19"/>
        <v>0</v>
      </c>
      <c r="P110" s="476">
        <f t="shared" si="20"/>
        <v>0</v>
      </c>
    </row>
    <row r="111" spans="1:16" ht="12.5">
      <c r="B111" s="160" t="str">
        <f t="shared" si="21"/>
        <v/>
      </c>
      <c r="C111" s="470">
        <f>IF(D93="","-",+C110+1)</f>
        <v>2030</v>
      </c>
      <c r="D111" s="345">
        <f>IF(F110+SUM(E$99:E110)=D$92,F110,D$92-SUM(E$99:E110))</f>
        <v>816090.50999999978</v>
      </c>
      <c r="E111" s="482">
        <f t="shared" si="24"/>
        <v>30674</v>
      </c>
      <c r="F111" s="483">
        <f t="shared" si="25"/>
        <v>785416.50999999978</v>
      </c>
      <c r="G111" s="483">
        <f t="shared" si="26"/>
        <v>800753.50999999978</v>
      </c>
      <c r="H111" s="484">
        <f t="shared" si="27"/>
        <v>122141.71367111393</v>
      </c>
      <c r="I111" s="540">
        <f t="shared" si="28"/>
        <v>122141.71367111393</v>
      </c>
      <c r="J111" s="476">
        <f t="shared" si="18"/>
        <v>0</v>
      </c>
      <c r="K111" s="476"/>
      <c r="L111" s="485"/>
      <c r="M111" s="476">
        <f t="shared" si="29"/>
        <v>0</v>
      </c>
      <c r="N111" s="485"/>
      <c r="O111" s="476">
        <f t="shared" si="19"/>
        <v>0</v>
      </c>
      <c r="P111" s="476">
        <f t="shared" si="20"/>
        <v>0</v>
      </c>
    </row>
    <row r="112" spans="1:16" ht="12.5">
      <c r="B112" s="160" t="str">
        <f t="shared" si="21"/>
        <v/>
      </c>
      <c r="C112" s="470">
        <f>IF(D93="","-",+C111+1)</f>
        <v>2031</v>
      </c>
      <c r="D112" s="345">
        <f>IF(F111+SUM(E$99:E111)=D$92,F111,D$92-SUM(E$99:E111))</f>
        <v>785416.50999999978</v>
      </c>
      <c r="E112" s="482">
        <f t="shared" si="24"/>
        <v>30674</v>
      </c>
      <c r="F112" s="483">
        <f t="shared" si="25"/>
        <v>754742.50999999978</v>
      </c>
      <c r="G112" s="483">
        <f t="shared" si="26"/>
        <v>770079.50999999978</v>
      </c>
      <c r="H112" s="484">
        <f t="shared" si="27"/>
        <v>118637.91304569082</v>
      </c>
      <c r="I112" s="540">
        <f t="shared" si="28"/>
        <v>118637.91304569082</v>
      </c>
      <c r="J112" s="476">
        <f t="shared" si="18"/>
        <v>0</v>
      </c>
      <c r="K112" s="476"/>
      <c r="L112" s="485"/>
      <c r="M112" s="476">
        <f t="shared" si="29"/>
        <v>0</v>
      </c>
      <c r="N112" s="485"/>
      <c r="O112" s="476">
        <f t="shared" si="19"/>
        <v>0</v>
      </c>
      <c r="P112" s="476">
        <f t="shared" si="20"/>
        <v>0</v>
      </c>
    </row>
    <row r="113" spans="2:16" ht="12.5">
      <c r="B113" s="160" t="str">
        <f t="shared" si="21"/>
        <v/>
      </c>
      <c r="C113" s="470">
        <f>IF(D93="","-",+C112+1)</f>
        <v>2032</v>
      </c>
      <c r="D113" s="345">
        <f>IF(F112+SUM(E$99:E112)=D$92,F112,D$92-SUM(E$99:E112))</f>
        <v>754742.50999999978</v>
      </c>
      <c r="E113" s="482">
        <f t="shared" si="24"/>
        <v>30674</v>
      </c>
      <c r="F113" s="483">
        <f t="shared" si="25"/>
        <v>724068.50999999978</v>
      </c>
      <c r="G113" s="483">
        <f t="shared" si="26"/>
        <v>739405.50999999978</v>
      </c>
      <c r="H113" s="484">
        <f t="shared" si="27"/>
        <v>115134.11242026772</v>
      </c>
      <c r="I113" s="540">
        <f t="shared" si="28"/>
        <v>115134.11242026772</v>
      </c>
      <c r="J113" s="476">
        <f t="shared" si="18"/>
        <v>0</v>
      </c>
      <c r="K113" s="476"/>
      <c r="L113" s="485"/>
      <c r="M113" s="476">
        <f t="shared" si="29"/>
        <v>0</v>
      </c>
      <c r="N113" s="485"/>
      <c r="O113" s="476">
        <f t="shared" si="19"/>
        <v>0</v>
      </c>
      <c r="P113" s="476">
        <f t="shared" si="20"/>
        <v>0</v>
      </c>
    </row>
    <row r="114" spans="2:16" ht="12.5">
      <c r="B114" s="160" t="str">
        <f t="shared" si="21"/>
        <v/>
      </c>
      <c r="C114" s="470">
        <f>IF(D93="","-",+C113+1)</f>
        <v>2033</v>
      </c>
      <c r="D114" s="345">
        <f>IF(F113+SUM(E$99:E113)=D$92,F113,D$92-SUM(E$99:E113))</f>
        <v>724068.50999999978</v>
      </c>
      <c r="E114" s="482">
        <f t="shared" si="24"/>
        <v>30674</v>
      </c>
      <c r="F114" s="483">
        <f t="shared" si="25"/>
        <v>693394.50999999978</v>
      </c>
      <c r="G114" s="483">
        <f t="shared" si="26"/>
        <v>708731.50999999978</v>
      </c>
      <c r="H114" s="484">
        <f t="shared" si="27"/>
        <v>111630.3117948446</v>
      </c>
      <c r="I114" s="540">
        <f t="shared" si="28"/>
        <v>111630.3117948446</v>
      </c>
      <c r="J114" s="476">
        <f t="shared" si="18"/>
        <v>0</v>
      </c>
      <c r="K114" s="476"/>
      <c r="L114" s="485"/>
      <c r="M114" s="476">
        <f t="shared" si="29"/>
        <v>0</v>
      </c>
      <c r="N114" s="485"/>
      <c r="O114" s="476">
        <f t="shared" si="19"/>
        <v>0</v>
      </c>
      <c r="P114" s="476">
        <f t="shared" si="20"/>
        <v>0</v>
      </c>
    </row>
    <row r="115" spans="2:16" ht="12.5">
      <c r="B115" s="160" t="str">
        <f t="shared" si="21"/>
        <v/>
      </c>
      <c r="C115" s="470">
        <f>IF(D93="","-",+C114+1)</f>
        <v>2034</v>
      </c>
      <c r="D115" s="345">
        <f>IF(F114+SUM(E$99:E114)=D$92,F114,D$92-SUM(E$99:E114))</f>
        <v>693394.50999999978</v>
      </c>
      <c r="E115" s="482">
        <f t="shared" si="24"/>
        <v>30674</v>
      </c>
      <c r="F115" s="483">
        <f t="shared" si="25"/>
        <v>662720.50999999978</v>
      </c>
      <c r="G115" s="483">
        <f t="shared" si="26"/>
        <v>678057.50999999978</v>
      </c>
      <c r="H115" s="484">
        <f t="shared" si="27"/>
        <v>108126.5111694215</v>
      </c>
      <c r="I115" s="540">
        <f t="shared" si="28"/>
        <v>108126.5111694215</v>
      </c>
      <c r="J115" s="476">
        <f t="shared" si="18"/>
        <v>0</v>
      </c>
      <c r="K115" s="476"/>
      <c r="L115" s="485"/>
      <c r="M115" s="476">
        <f t="shared" si="29"/>
        <v>0</v>
      </c>
      <c r="N115" s="485"/>
      <c r="O115" s="476">
        <f t="shared" si="19"/>
        <v>0</v>
      </c>
      <c r="P115" s="476">
        <f t="shared" si="20"/>
        <v>0</v>
      </c>
    </row>
    <row r="116" spans="2:16" ht="12.5">
      <c r="B116" s="160" t="str">
        <f t="shared" si="21"/>
        <v/>
      </c>
      <c r="C116" s="470">
        <f>IF(D93="","-",+C115+1)</f>
        <v>2035</v>
      </c>
      <c r="D116" s="345">
        <f>IF(F115+SUM(E$99:E115)=D$92,F115,D$92-SUM(E$99:E115))</f>
        <v>662720.50999999978</v>
      </c>
      <c r="E116" s="482">
        <f t="shared" si="24"/>
        <v>30674</v>
      </c>
      <c r="F116" s="483">
        <f t="shared" si="25"/>
        <v>632046.50999999978</v>
      </c>
      <c r="G116" s="483">
        <f t="shared" si="26"/>
        <v>647383.50999999978</v>
      </c>
      <c r="H116" s="484">
        <f t="shared" si="27"/>
        <v>104622.71054399839</v>
      </c>
      <c r="I116" s="540">
        <f t="shared" si="28"/>
        <v>104622.71054399839</v>
      </c>
      <c r="J116" s="476">
        <f t="shared" si="18"/>
        <v>0</v>
      </c>
      <c r="K116" s="476"/>
      <c r="L116" s="485"/>
      <c r="M116" s="476">
        <f t="shared" si="29"/>
        <v>0</v>
      </c>
      <c r="N116" s="485"/>
      <c r="O116" s="476">
        <f t="shared" si="19"/>
        <v>0</v>
      </c>
      <c r="P116" s="476">
        <f t="shared" si="20"/>
        <v>0</v>
      </c>
    </row>
    <row r="117" spans="2:16" ht="12.5">
      <c r="B117" s="160" t="str">
        <f t="shared" si="21"/>
        <v/>
      </c>
      <c r="C117" s="470">
        <f>IF(D93="","-",+C116+1)</f>
        <v>2036</v>
      </c>
      <c r="D117" s="345">
        <f>IF(F116+SUM(E$99:E116)=D$92,F116,D$92-SUM(E$99:E116))</f>
        <v>632046.50999999978</v>
      </c>
      <c r="E117" s="482">
        <f t="shared" si="24"/>
        <v>30674</v>
      </c>
      <c r="F117" s="483">
        <f t="shared" si="25"/>
        <v>601372.50999999978</v>
      </c>
      <c r="G117" s="483">
        <f t="shared" si="26"/>
        <v>616709.50999999978</v>
      </c>
      <c r="H117" s="484">
        <f t="shared" si="27"/>
        <v>101118.90991857529</v>
      </c>
      <c r="I117" s="540">
        <f t="shared" si="28"/>
        <v>101118.90991857529</v>
      </c>
      <c r="J117" s="476">
        <f t="shared" si="18"/>
        <v>0</v>
      </c>
      <c r="K117" s="476"/>
      <c r="L117" s="485"/>
      <c r="M117" s="476">
        <f t="shared" si="29"/>
        <v>0</v>
      </c>
      <c r="N117" s="485"/>
      <c r="O117" s="476">
        <f t="shared" si="19"/>
        <v>0</v>
      </c>
      <c r="P117" s="476">
        <f t="shared" si="20"/>
        <v>0</v>
      </c>
    </row>
    <row r="118" spans="2:16" ht="12.5">
      <c r="B118" s="160" t="str">
        <f t="shared" si="21"/>
        <v/>
      </c>
      <c r="C118" s="470">
        <f>IF(D93="","-",+C117+1)</f>
        <v>2037</v>
      </c>
      <c r="D118" s="345">
        <f>IF(F117+SUM(E$99:E117)=D$92,F117,D$92-SUM(E$99:E117))</f>
        <v>601372.50999999978</v>
      </c>
      <c r="E118" s="482">
        <f t="shared" si="24"/>
        <v>30674</v>
      </c>
      <c r="F118" s="483">
        <f t="shared" si="25"/>
        <v>570698.50999999978</v>
      </c>
      <c r="G118" s="483">
        <f t="shared" si="26"/>
        <v>586035.50999999978</v>
      </c>
      <c r="H118" s="484">
        <f t="shared" si="27"/>
        <v>97615.109293152171</v>
      </c>
      <c r="I118" s="540">
        <f t="shared" si="28"/>
        <v>97615.109293152171</v>
      </c>
      <c r="J118" s="476">
        <f t="shared" si="18"/>
        <v>0</v>
      </c>
      <c r="K118" s="476"/>
      <c r="L118" s="485"/>
      <c r="M118" s="476">
        <f t="shared" si="29"/>
        <v>0</v>
      </c>
      <c r="N118" s="485"/>
      <c r="O118" s="476">
        <f t="shared" si="19"/>
        <v>0</v>
      </c>
      <c r="P118" s="476">
        <f t="shared" si="20"/>
        <v>0</v>
      </c>
    </row>
    <row r="119" spans="2:16" ht="12.5">
      <c r="B119" s="160" t="str">
        <f t="shared" si="21"/>
        <v/>
      </c>
      <c r="C119" s="470">
        <f>IF(D93="","-",+C118+1)</f>
        <v>2038</v>
      </c>
      <c r="D119" s="345">
        <f>IF(F118+SUM(E$99:E118)=D$92,F118,D$92-SUM(E$99:E118))</f>
        <v>570698.50999999978</v>
      </c>
      <c r="E119" s="482">
        <f t="shared" si="24"/>
        <v>30674</v>
      </c>
      <c r="F119" s="483">
        <f t="shared" si="25"/>
        <v>540024.50999999978</v>
      </c>
      <c r="G119" s="483">
        <f t="shared" si="26"/>
        <v>555361.50999999978</v>
      </c>
      <c r="H119" s="484">
        <f t="shared" si="27"/>
        <v>94111.308667729056</v>
      </c>
      <c r="I119" s="540">
        <f t="shared" si="28"/>
        <v>94111.308667729056</v>
      </c>
      <c r="J119" s="476">
        <f t="shared" si="18"/>
        <v>0</v>
      </c>
      <c r="K119" s="476"/>
      <c r="L119" s="485"/>
      <c r="M119" s="476">
        <f t="shared" si="29"/>
        <v>0</v>
      </c>
      <c r="N119" s="485"/>
      <c r="O119" s="476">
        <f t="shared" si="19"/>
        <v>0</v>
      </c>
      <c r="P119" s="476">
        <f t="shared" si="20"/>
        <v>0</v>
      </c>
    </row>
    <row r="120" spans="2:16" ht="12.5">
      <c r="B120" s="160" t="str">
        <f t="shared" si="21"/>
        <v/>
      </c>
      <c r="C120" s="470">
        <f>IF(D93="","-",+C119+1)</f>
        <v>2039</v>
      </c>
      <c r="D120" s="345">
        <f>IF(F119+SUM(E$99:E119)=D$92,F119,D$92-SUM(E$99:E119))</f>
        <v>540024.50999999978</v>
      </c>
      <c r="E120" s="482">
        <f t="shared" si="24"/>
        <v>30674</v>
      </c>
      <c r="F120" s="483">
        <f t="shared" si="25"/>
        <v>509350.50999999978</v>
      </c>
      <c r="G120" s="483">
        <f t="shared" si="26"/>
        <v>524687.50999999978</v>
      </c>
      <c r="H120" s="484">
        <f t="shared" si="27"/>
        <v>90607.508042305955</v>
      </c>
      <c r="I120" s="540">
        <f t="shared" si="28"/>
        <v>90607.508042305955</v>
      </c>
      <c r="J120" s="476">
        <f t="shared" si="18"/>
        <v>0</v>
      </c>
      <c r="K120" s="476"/>
      <c r="L120" s="485"/>
      <c r="M120" s="476">
        <f t="shared" si="29"/>
        <v>0</v>
      </c>
      <c r="N120" s="485"/>
      <c r="O120" s="476">
        <f t="shared" si="19"/>
        <v>0</v>
      </c>
      <c r="P120" s="476">
        <f t="shared" si="20"/>
        <v>0</v>
      </c>
    </row>
    <row r="121" spans="2:16" ht="12.5">
      <c r="B121" s="160" t="str">
        <f t="shared" si="21"/>
        <v/>
      </c>
      <c r="C121" s="470">
        <f>IF(D93="","-",+C120+1)</f>
        <v>2040</v>
      </c>
      <c r="D121" s="345">
        <f>IF(F120+SUM(E$99:E120)=D$92,F120,D$92-SUM(E$99:E120))</f>
        <v>509350.50999999978</v>
      </c>
      <c r="E121" s="482">
        <f t="shared" si="24"/>
        <v>30674</v>
      </c>
      <c r="F121" s="483">
        <f t="shared" si="25"/>
        <v>478676.50999999978</v>
      </c>
      <c r="G121" s="483">
        <f t="shared" si="26"/>
        <v>494013.50999999978</v>
      </c>
      <c r="H121" s="484">
        <f t="shared" si="27"/>
        <v>87103.707416882855</v>
      </c>
      <c r="I121" s="540">
        <f t="shared" si="28"/>
        <v>87103.707416882855</v>
      </c>
      <c r="J121" s="476">
        <f t="shared" si="18"/>
        <v>0</v>
      </c>
      <c r="K121" s="476"/>
      <c r="L121" s="485"/>
      <c r="M121" s="476">
        <f t="shared" si="29"/>
        <v>0</v>
      </c>
      <c r="N121" s="485"/>
      <c r="O121" s="476">
        <f t="shared" si="19"/>
        <v>0</v>
      </c>
      <c r="P121" s="476">
        <f t="shared" si="20"/>
        <v>0</v>
      </c>
    </row>
    <row r="122" spans="2:16" ht="12.5">
      <c r="B122" s="160" t="str">
        <f t="shared" si="21"/>
        <v/>
      </c>
      <c r="C122" s="470">
        <f>IF(D93="","-",+C121+1)</f>
        <v>2041</v>
      </c>
      <c r="D122" s="345">
        <f>IF(F121+SUM(E$99:E121)=D$92,F121,D$92-SUM(E$99:E121))</f>
        <v>478676.50999999978</v>
      </c>
      <c r="E122" s="482">
        <f t="shared" si="24"/>
        <v>30674</v>
      </c>
      <c r="F122" s="483">
        <f t="shared" si="25"/>
        <v>448002.50999999978</v>
      </c>
      <c r="G122" s="483">
        <f t="shared" si="26"/>
        <v>463339.50999999978</v>
      </c>
      <c r="H122" s="484">
        <f t="shared" si="27"/>
        <v>83599.90679145974</v>
      </c>
      <c r="I122" s="540">
        <f t="shared" si="28"/>
        <v>83599.90679145974</v>
      </c>
      <c r="J122" s="476">
        <f t="shared" si="18"/>
        <v>0</v>
      </c>
      <c r="K122" s="476"/>
      <c r="L122" s="485"/>
      <c r="M122" s="476">
        <f t="shared" si="29"/>
        <v>0</v>
      </c>
      <c r="N122" s="485"/>
      <c r="O122" s="476">
        <f t="shared" si="19"/>
        <v>0</v>
      </c>
      <c r="P122" s="476">
        <f t="shared" si="20"/>
        <v>0</v>
      </c>
    </row>
    <row r="123" spans="2:16" ht="12.5">
      <c r="B123" s="160" t="str">
        <f t="shared" si="21"/>
        <v/>
      </c>
      <c r="C123" s="470">
        <f>IF(D93="","-",+C122+1)</f>
        <v>2042</v>
      </c>
      <c r="D123" s="345">
        <f>IF(F122+SUM(E$99:E122)=D$92,F122,D$92-SUM(E$99:E122))</f>
        <v>448002.50999999978</v>
      </c>
      <c r="E123" s="482">
        <f t="shared" si="24"/>
        <v>30674</v>
      </c>
      <c r="F123" s="483">
        <f t="shared" si="25"/>
        <v>417328.50999999978</v>
      </c>
      <c r="G123" s="483">
        <f t="shared" si="26"/>
        <v>432665.50999999978</v>
      </c>
      <c r="H123" s="484">
        <f t="shared" si="27"/>
        <v>80096.106166036625</v>
      </c>
      <c r="I123" s="540">
        <f t="shared" si="28"/>
        <v>80096.106166036625</v>
      </c>
      <c r="J123" s="476">
        <f t="shared" si="18"/>
        <v>0</v>
      </c>
      <c r="K123" s="476"/>
      <c r="L123" s="485"/>
      <c r="M123" s="476">
        <f t="shared" si="29"/>
        <v>0</v>
      </c>
      <c r="N123" s="485"/>
      <c r="O123" s="476">
        <f t="shared" si="19"/>
        <v>0</v>
      </c>
      <c r="P123" s="476">
        <f t="shared" si="20"/>
        <v>0</v>
      </c>
    </row>
    <row r="124" spans="2:16" ht="12.5">
      <c r="B124" s="160" t="str">
        <f t="shared" si="21"/>
        <v/>
      </c>
      <c r="C124" s="470">
        <f>IF(D93="","-",+C123+1)</f>
        <v>2043</v>
      </c>
      <c r="D124" s="345">
        <f>IF(F123+SUM(E$99:E123)=D$92,F123,D$92-SUM(E$99:E123))</f>
        <v>417328.50999999978</v>
      </c>
      <c r="E124" s="482">
        <f t="shared" si="24"/>
        <v>30674</v>
      </c>
      <c r="F124" s="483">
        <f t="shared" si="25"/>
        <v>386654.50999999978</v>
      </c>
      <c r="G124" s="483">
        <f t="shared" si="26"/>
        <v>401991.50999999978</v>
      </c>
      <c r="H124" s="484">
        <f t="shared" si="27"/>
        <v>76592.30554061351</v>
      </c>
      <c r="I124" s="540">
        <f t="shared" si="28"/>
        <v>76592.30554061351</v>
      </c>
      <c r="J124" s="476">
        <f t="shared" si="18"/>
        <v>0</v>
      </c>
      <c r="K124" s="476"/>
      <c r="L124" s="485"/>
      <c r="M124" s="476">
        <f t="shared" si="29"/>
        <v>0</v>
      </c>
      <c r="N124" s="485"/>
      <c r="O124" s="476">
        <f t="shared" si="19"/>
        <v>0</v>
      </c>
      <c r="P124" s="476">
        <f t="shared" si="20"/>
        <v>0</v>
      </c>
    </row>
    <row r="125" spans="2:16" ht="12.5">
      <c r="B125" s="160" t="str">
        <f t="shared" si="21"/>
        <v/>
      </c>
      <c r="C125" s="470">
        <f>IF(D93="","-",+C124+1)</f>
        <v>2044</v>
      </c>
      <c r="D125" s="345">
        <f>IF(F124+SUM(E$99:E124)=D$92,F124,D$92-SUM(E$99:E124))</f>
        <v>386654.50999999978</v>
      </c>
      <c r="E125" s="482">
        <f t="shared" si="24"/>
        <v>30674</v>
      </c>
      <c r="F125" s="483">
        <f t="shared" si="25"/>
        <v>355980.50999999978</v>
      </c>
      <c r="G125" s="483">
        <f t="shared" si="26"/>
        <v>371317.50999999978</v>
      </c>
      <c r="H125" s="484">
        <f t="shared" si="27"/>
        <v>73088.50491519041</v>
      </c>
      <c r="I125" s="540">
        <f t="shared" si="28"/>
        <v>73088.50491519041</v>
      </c>
      <c r="J125" s="476">
        <f t="shared" si="18"/>
        <v>0</v>
      </c>
      <c r="K125" s="476"/>
      <c r="L125" s="485"/>
      <c r="M125" s="476">
        <f t="shared" si="29"/>
        <v>0</v>
      </c>
      <c r="N125" s="485"/>
      <c r="O125" s="476">
        <f t="shared" si="19"/>
        <v>0</v>
      </c>
      <c r="P125" s="476">
        <f t="shared" si="20"/>
        <v>0</v>
      </c>
    </row>
    <row r="126" spans="2:16" ht="12.5">
      <c r="B126" s="160" t="str">
        <f t="shared" si="21"/>
        <v/>
      </c>
      <c r="C126" s="470">
        <f>IF(D93="","-",+C125+1)</f>
        <v>2045</v>
      </c>
      <c r="D126" s="345">
        <f>IF(F125+SUM(E$99:E125)=D$92,F125,D$92-SUM(E$99:E125))</f>
        <v>355980.50999999978</v>
      </c>
      <c r="E126" s="482">
        <f t="shared" si="24"/>
        <v>30674</v>
      </c>
      <c r="F126" s="483">
        <f t="shared" si="25"/>
        <v>325306.50999999978</v>
      </c>
      <c r="G126" s="483">
        <f t="shared" si="26"/>
        <v>340643.50999999978</v>
      </c>
      <c r="H126" s="484">
        <f t="shared" si="27"/>
        <v>69584.704289767309</v>
      </c>
      <c r="I126" s="540">
        <f t="shared" si="28"/>
        <v>69584.704289767309</v>
      </c>
      <c r="J126" s="476">
        <f t="shared" si="18"/>
        <v>0</v>
      </c>
      <c r="K126" s="476"/>
      <c r="L126" s="485"/>
      <c r="M126" s="476">
        <f t="shared" si="29"/>
        <v>0</v>
      </c>
      <c r="N126" s="485"/>
      <c r="O126" s="476">
        <f t="shared" si="19"/>
        <v>0</v>
      </c>
      <c r="P126" s="476">
        <f t="shared" si="20"/>
        <v>0</v>
      </c>
    </row>
    <row r="127" spans="2:16" ht="12.5">
      <c r="B127" s="160" t="str">
        <f t="shared" si="21"/>
        <v/>
      </c>
      <c r="C127" s="470">
        <f>IF(D93="","-",+C126+1)</f>
        <v>2046</v>
      </c>
      <c r="D127" s="345">
        <f>IF(F126+SUM(E$99:E126)=D$92,F126,D$92-SUM(E$99:E126))</f>
        <v>325306.50999999978</v>
      </c>
      <c r="E127" s="482">
        <f t="shared" si="24"/>
        <v>30674</v>
      </c>
      <c r="F127" s="483">
        <f t="shared" si="25"/>
        <v>294632.50999999978</v>
      </c>
      <c r="G127" s="483">
        <f t="shared" si="26"/>
        <v>309969.50999999978</v>
      </c>
      <c r="H127" s="484">
        <f t="shared" si="27"/>
        <v>66080.903664344194</v>
      </c>
      <c r="I127" s="540">
        <f t="shared" si="28"/>
        <v>66080.903664344194</v>
      </c>
      <c r="J127" s="476">
        <f t="shared" si="18"/>
        <v>0</v>
      </c>
      <c r="K127" s="476"/>
      <c r="L127" s="485"/>
      <c r="M127" s="476">
        <f t="shared" si="29"/>
        <v>0</v>
      </c>
      <c r="N127" s="485"/>
      <c r="O127" s="476">
        <f t="shared" si="19"/>
        <v>0</v>
      </c>
      <c r="P127" s="476">
        <f t="shared" si="20"/>
        <v>0</v>
      </c>
    </row>
    <row r="128" spans="2:16" ht="12.5">
      <c r="B128" s="160" t="str">
        <f t="shared" si="21"/>
        <v/>
      </c>
      <c r="C128" s="470">
        <f>IF(D93="","-",+C127+1)</f>
        <v>2047</v>
      </c>
      <c r="D128" s="345">
        <f>IF(F127+SUM(E$99:E127)=D$92,F127,D$92-SUM(E$99:E127))</f>
        <v>294632.50999999978</v>
      </c>
      <c r="E128" s="482">
        <f t="shared" si="24"/>
        <v>30674</v>
      </c>
      <c r="F128" s="483">
        <f t="shared" si="25"/>
        <v>263958.50999999978</v>
      </c>
      <c r="G128" s="483">
        <f t="shared" si="26"/>
        <v>279295.50999999978</v>
      </c>
      <c r="H128" s="484">
        <f t="shared" si="27"/>
        <v>62577.103038921079</v>
      </c>
      <c r="I128" s="540">
        <f t="shared" si="28"/>
        <v>62577.103038921079</v>
      </c>
      <c r="J128" s="476">
        <f t="shared" si="18"/>
        <v>0</v>
      </c>
      <c r="K128" s="476"/>
      <c r="L128" s="485"/>
      <c r="M128" s="476">
        <f t="shared" si="29"/>
        <v>0</v>
      </c>
      <c r="N128" s="485"/>
      <c r="O128" s="476">
        <f t="shared" si="19"/>
        <v>0</v>
      </c>
      <c r="P128" s="476">
        <f t="shared" si="20"/>
        <v>0</v>
      </c>
    </row>
    <row r="129" spans="2:16" ht="12.5">
      <c r="B129" s="160" t="str">
        <f t="shared" si="21"/>
        <v/>
      </c>
      <c r="C129" s="470">
        <f>IF(D93="","-",+C128+1)</f>
        <v>2048</v>
      </c>
      <c r="D129" s="345">
        <f>IF(F128+SUM(E$99:E128)=D$92,F128,D$92-SUM(E$99:E128))</f>
        <v>263958.50999999978</v>
      </c>
      <c r="E129" s="482">
        <f t="shared" si="24"/>
        <v>30674</v>
      </c>
      <c r="F129" s="483">
        <f t="shared" si="25"/>
        <v>233284.50999999978</v>
      </c>
      <c r="G129" s="483">
        <f t="shared" si="26"/>
        <v>248621.50999999978</v>
      </c>
      <c r="H129" s="484">
        <f t="shared" si="27"/>
        <v>59073.302413497979</v>
      </c>
      <c r="I129" s="540">
        <f t="shared" si="28"/>
        <v>59073.302413497979</v>
      </c>
      <c r="J129" s="476">
        <f t="shared" si="18"/>
        <v>0</v>
      </c>
      <c r="K129" s="476"/>
      <c r="L129" s="485"/>
      <c r="M129" s="476">
        <f t="shared" si="29"/>
        <v>0</v>
      </c>
      <c r="N129" s="485"/>
      <c r="O129" s="476">
        <f t="shared" si="19"/>
        <v>0</v>
      </c>
      <c r="P129" s="476">
        <f t="shared" si="20"/>
        <v>0</v>
      </c>
    </row>
    <row r="130" spans="2:16" ht="12.5">
      <c r="B130" s="160" t="str">
        <f t="shared" si="21"/>
        <v/>
      </c>
      <c r="C130" s="470">
        <f>IF(D93="","-",+C129+1)</f>
        <v>2049</v>
      </c>
      <c r="D130" s="345">
        <f>IF(F129+SUM(E$99:E129)=D$92,F129,D$92-SUM(E$99:E129))</f>
        <v>233284.50999999978</v>
      </c>
      <c r="E130" s="482">
        <f t="shared" si="24"/>
        <v>30674</v>
      </c>
      <c r="F130" s="483">
        <f t="shared" si="25"/>
        <v>202610.50999999978</v>
      </c>
      <c r="G130" s="483">
        <f t="shared" si="26"/>
        <v>217947.50999999978</v>
      </c>
      <c r="H130" s="484">
        <f t="shared" si="27"/>
        <v>55569.501788074864</v>
      </c>
      <c r="I130" s="540">
        <f t="shared" si="28"/>
        <v>55569.501788074864</v>
      </c>
      <c r="J130" s="476">
        <f t="shared" si="18"/>
        <v>0</v>
      </c>
      <c r="K130" s="476"/>
      <c r="L130" s="485"/>
      <c r="M130" s="476">
        <f t="shared" si="29"/>
        <v>0</v>
      </c>
      <c r="N130" s="485"/>
      <c r="O130" s="476">
        <f t="shared" si="19"/>
        <v>0</v>
      </c>
      <c r="P130" s="476">
        <f t="shared" si="20"/>
        <v>0</v>
      </c>
    </row>
    <row r="131" spans="2:16" ht="12.5">
      <c r="B131" s="160" t="str">
        <f t="shared" si="21"/>
        <v/>
      </c>
      <c r="C131" s="470">
        <f>IF(D93="","-",+C130+1)</f>
        <v>2050</v>
      </c>
      <c r="D131" s="345">
        <f>IF(F130+SUM(E$99:E130)=D$92,F130,D$92-SUM(E$99:E130))</f>
        <v>202610.50999999978</v>
      </c>
      <c r="E131" s="482">
        <f t="shared" si="24"/>
        <v>30674</v>
      </c>
      <c r="F131" s="483">
        <f t="shared" si="25"/>
        <v>171936.50999999978</v>
      </c>
      <c r="G131" s="483">
        <f t="shared" si="26"/>
        <v>187273.50999999978</v>
      </c>
      <c r="H131" s="484">
        <f t="shared" si="27"/>
        <v>52065.701162651763</v>
      </c>
      <c r="I131" s="540">
        <f t="shared" si="28"/>
        <v>52065.701162651763</v>
      </c>
      <c r="J131" s="476">
        <f t="shared" ref="J131:J154" si="30">+I541-H541</f>
        <v>0</v>
      </c>
      <c r="K131" s="476"/>
      <c r="L131" s="485"/>
      <c r="M131" s="476">
        <f t="shared" ref="M131:M154" si="31">IF(L541&lt;&gt;0,+H541-L541,0)</f>
        <v>0</v>
      </c>
      <c r="N131" s="485"/>
      <c r="O131" s="476">
        <f t="shared" ref="O131:O154" si="32">IF(N541&lt;&gt;0,+I541-N541,0)</f>
        <v>0</v>
      </c>
      <c r="P131" s="476">
        <f t="shared" ref="P131:P154" si="33">+O541-M541</f>
        <v>0</v>
      </c>
    </row>
    <row r="132" spans="2:16" ht="12.5">
      <c r="B132" s="160" t="str">
        <f t="shared" si="21"/>
        <v/>
      </c>
      <c r="C132" s="470">
        <f>IF(D93="","-",+C131+1)</f>
        <v>2051</v>
      </c>
      <c r="D132" s="345">
        <f>IF(F131+SUM(E$99:E131)=D$92,F131,D$92-SUM(E$99:E131))</f>
        <v>171936.50999999978</v>
      </c>
      <c r="E132" s="482">
        <f t="shared" si="24"/>
        <v>30674</v>
      </c>
      <c r="F132" s="483">
        <f t="shared" si="25"/>
        <v>141262.50999999978</v>
      </c>
      <c r="G132" s="483">
        <f t="shared" si="26"/>
        <v>156599.50999999978</v>
      </c>
      <c r="H132" s="484">
        <f t="shared" si="27"/>
        <v>48561.900537228648</v>
      </c>
      <c r="I132" s="540">
        <f t="shared" si="28"/>
        <v>48561.900537228648</v>
      </c>
      <c r="J132" s="476">
        <f t="shared" si="30"/>
        <v>0</v>
      </c>
      <c r="K132" s="476"/>
      <c r="L132" s="485"/>
      <c r="M132" s="476">
        <f t="shared" si="31"/>
        <v>0</v>
      </c>
      <c r="N132" s="485"/>
      <c r="O132" s="476">
        <f t="shared" si="32"/>
        <v>0</v>
      </c>
      <c r="P132" s="476">
        <f t="shared" si="33"/>
        <v>0</v>
      </c>
    </row>
    <row r="133" spans="2:16" ht="12.5">
      <c r="B133" s="160" t="str">
        <f t="shared" si="21"/>
        <v/>
      </c>
      <c r="C133" s="470">
        <f>IF(D93="","-",+C132+1)</f>
        <v>2052</v>
      </c>
      <c r="D133" s="345">
        <f>IF(F132+SUM(E$99:E132)=D$92,F132,D$92-SUM(E$99:E132))</f>
        <v>141262.50999999978</v>
      </c>
      <c r="E133" s="482">
        <f t="shared" si="24"/>
        <v>30674</v>
      </c>
      <c r="F133" s="483">
        <f t="shared" si="25"/>
        <v>110588.50999999978</v>
      </c>
      <c r="G133" s="483">
        <f t="shared" si="26"/>
        <v>125925.50999999978</v>
      </c>
      <c r="H133" s="484">
        <f t="shared" si="27"/>
        <v>45058.099911805541</v>
      </c>
      <c r="I133" s="540">
        <f t="shared" si="28"/>
        <v>45058.099911805541</v>
      </c>
      <c r="J133" s="476">
        <f t="shared" si="30"/>
        <v>0</v>
      </c>
      <c r="K133" s="476"/>
      <c r="L133" s="485"/>
      <c r="M133" s="476">
        <f t="shared" si="31"/>
        <v>0</v>
      </c>
      <c r="N133" s="485"/>
      <c r="O133" s="476">
        <f t="shared" si="32"/>
        <v>0</v>
      </c>
      <c r="P133" s="476">
        <f t="shared" si="33"/>
        <v>0</v>
      </c>
    </row>
    <row r="134" spans="2:16" ht="12.5">
      <c r="B134" s="160" t="str">
        <f t="shared" si="21"/>
        <v/>
      </c>
      <c r="C134" s="470">
        <f>IF(D93="","-",+C133+1)</f>
        <v>2053</v>
      </c>
      <c r="D134" s="345">
        <f>IF(F133+SUM(E$99:E133)=D$92,F133,D$92-SUM(E$99:E133))</f>
        <v>110588.50999999978</v>
      </c>
      <c r="E134" s="482">
        <f t="shared" si="24"/>
        <v>30674</v>
      </c>
      <c r="F134" s="483">
        <f t="shared" si="25"/>
        <v>79914.509999999776</v>
      </c>
      <c r="G134" s="483">
        <f t="shared" si="26"/>
        <v>95251.509999999776</v>
      </c>
      <c r="H134" s="484">
        <f t="shared" si="27"/>
        <v>41554.299286382433</v>
      </c>
      <c r="I134" s="540">
        <f t="shared" si="28"/>
        <v>41554.299286382433</v>
      </c>
      <c r="J134" s="476">
        <f t="shared" si="30"/>
        <v>0</v>
      </c>
      <c r="K134" s="476"/>
      <c r="L134" s="485"/>
      <c r="M134" s="476">
        <f t="shared" si="31"/>
        <v>0</v>
      </c>
      <c r="N134" s="485"/>
      <c r="O134" s="476">
        <f t="shared" si="32"/>
        <v>0</v>
      </c>
      <c r="P134" s="476">
        <f t="shared" si="33"/>
        <v>0</v>
      </c>
    </row>
    <row r="135" spans="2:16" ht="12.5">
      <c r="B135" s="160" t="str">
        <f t="shared" si="21"/>
        <v/>
      </c>
      <c r="C135" s="470">
        <f>IF(D93="","-",+C134+1)</f>
        <v>2054</v>
      </c>
      <c r="D135" s="345">
        <f>IF(F134+SUM(E$99:E134)=D$92,F134,D$92-SUM(E$99:E134))</f>
        <v>79914.509999999776</v>
      </c>
      <c r="E135" s="482">
        <f t="shared" si="24"/>
        <v>30674</v>
      </c>
      <c r="F135" s="483">
        <f t="shared" si="25"/>
        <v>49240.509999999776</v>
      </c>
      <c r="G135" s="483">
        <f t="shared" si="26"/>
        <v>64577.509999999776</v>
      </c>
      <c r="H135" s="484">
        <f t="shared" si="27"/>
        <v>38050.498660959325</v>
      </c>
      <c r="I135" s="540">
        <f t="shared" si="28"/>
        <v>38050.498660959325</v>
      </c>
      <c r="J135" s="476">
        <f t="shared" si="30"/>
        <v>0</v>
      </c>
      <c r="K135" s="476"/>
      <c r="L135" s="485"/>
      <c r="M135" s="476">
        <f t="shared" si="31"/>
        <v>0</v>
      </c>
      <c r="N135" s="485"/>
      <c r="O135" s="476">
        <f t="shared" si="32"/>
        <v>0</v>
      </c>
      <c r="P135" s="476">
        <f t="shared" si="33"/>
        <v>0</v>
      </c>
    </row>
    <row r="136" spans="2:16" ht="12.5">
      <c r="B136" s="160" t="str">
        <f t="shared" si="21"/>
        <v/>
      </c>
      <c r="C136" s="470">
        <f>IF(D93="","-",+C135+1)</f>
        <v>2055</v>
      </c>
      <c r="D136" s="345">
        <f>IF(F135+SUM(E$99:E135)=D$92,F135,D$92-SUM(E$99:E135))</f>
        <v>49240.509999999776</v>
      </c>
      <c r="E136" s="482">
        <f t="shared" si="24"/>
        <v>30674</v>
      </c>
      <c r="F136" s="483">
        <f t="shared" si="25"/>
        <v>18566.509999999776</v>
      </c>
      <c r="G136" s="483">
        <f t="shared" si="26"/>
        <v>33903.509999999776</v>
      </c>
      <c r="H136" s="484">
        <f t="shared" si="27"/>
        <v>34546.698035536218</v>
      </c>
      <c r="I136" s="540">
        <f t="shared" si="28"/>
        <v>34546.698035536218</v>
      </c>
      <c r="J136" s="476">
        <f t="shared" si="30"/>
        <v>0</v>
      </c>
      <c r="K136" s="476"/>
      <c r="L136" s="485"/>
      <c r="M136" s="476">
        <f t="shared" si="31"/>
        <v>0</v>
      </c>
      <c r="N136" s="485"/>
      <c r="O136" s="476">
        <f t="shared" si="32"/>
        <v>0</v>
      </c>
      <c r="P136" s="476">
        <f t="shared" si="33"/>
        <v>0</v>
      </c>
    </row>
    <row r="137" spans="2:16" ht="12.5">
      <c r="B137" s="160" t="str">
        <f t="shared" si="21"/>
        <v/>
      </c>
      <c r="C137" s="470">
        <f>IF(D93="","-",+C136+1)</f>
        <v>2056</v>
      </c>
      <c r="D137" s="345">
        <f>IF(F136+SUM(E$99:E136)=D$92,F136,D$92-SUM(E$99:E136))</f>
        <v>18566.509999999776</v>
      </c>
      <c r="E137" s="482">
        <f t="shared" si="24"/>
        <v>18566.509999999776</v>
      </c>
      <c r="F137" s="483">
        <f t="shared" si="25"/>
        <v>0</v>
      </c>
      <c r="G137" s="483">
        <f t="shared" si="26"/>
        <v>9283.2549999998882</v>
      </c>
      <c r="H137" s="484">
        <f t="shared" si="27"/>
        <v>19626.908861412106</v>
      </c>
      <c r="I137" s="540">
        <f t="shared" si="28"/>
        <v>19626.908861412106</v>
      </c>
      <c r="J137" s="476">
        <f t="shared" si="30"/>
        <v>0</v>
      </c>
      <c r="K137" s="476"/>
      <c r="L137" s="485"/>
      <c r="M137" s="476">
        <f t="shared" si="31"/>
        <v>0</v>
      </c>
      <c r="N137" s="485"/>
      <c r="O137" s="476">
        <f t="shared" si="32"/>
        <v>0</v>
      </c>
      <c r="P137" s="476">
        <f t="shared" si="33"/>
        <v>0</v>
      </c>
    </row>
    <row r="138" spans="2:16" ht="12.5">
      <c r="B138" s="160" t="str">
        <f t="shared" si="21"/>
        <v/>
      </c>
      <c r="C138" s="470">
        <f>IF(D93="","-",+C137+1)</f>
        <v>2057</v>
      </c>
      <c r="D138" s="345">
        <f>IF(F137+SUM(E$99:E137)=D$92,F137,D$92-SUM(E$99:E137))</f>
        <v>0</v>
      </c>
      <c r="E138" s="482">
        <f t="shared" si="24"/>
        <v>0</v>
      </c>
      <c r="F138" s="483">
        <f t="shared" si="25"/>
        <v>0</v>
      </c>
      <c r="G138" s="483">
        <f t="shared" si="26"/>
        <v>0</v>
      </c>
      <c r="H138" s="484">
        <f t="shared" si="27"/>
        <v>0</v>
      </c>
      <c r="I138" s="540">
        <f t="shared" si="28"/>
        <v>0</v>
      </c>
      <c r="J138" s="476">
        <f t="shared" si="30"/>
        <v>0</v>
      </c>
      <c r="K138" s="476"/>
      <c r="L138" s="485"/>
      <c r="M138" s="476">
        <f t="shared" si="31"/>
        <v>0</v>
      </c>
      <c r="N138" s="485"/>
      <c r="O138" s="476">
        <f t="shared" si="32"/>
        <v>0</v>
      </c>
      <c r="P138" s="476">
        <f t="shared" si="33"/>
        <v>0</v>
      </c>
    </row>
    <row r="139" spans="2:16" ht="12.5">
      <c r="B139" s="160" t="str">
        <f t="shared" si="21"/>
        <v/>
      </c>
      <c r="C139" s="470">
        <f>IF(D93="","-",+C138+1)</f>
        <v>2058</v>
      </c>
      <c r="D139" s="345">
        <f>IF(F138+SUM(E$99:E138)=D$92,F138,D$92-SUM(E$99:E138))</f>
        <v>0</v>
      </c>
      <c r="E139" s="482">
        <f t="shared" si="24"/>
        <v>0</v>
      </c>
      <c r="F139" s="483">
        <f t="shared" si="25"/>
        <v>0</v>
      </c>
      <c r="G139" s="483">
        <f t="shared" si="26"/>
        <v>0</v>
      </c>
      <c r="H139" s="484">
        <f t="shared" si="27"/>
        <v>0</v>
      </c>
      <c r="I139" s="540">
        <f t="shared" si="28"/>
        <v>0</v>
      </c>
      <c r="J139" s="476">
        <f t="shared" si="30"/>
        <v>0</v>
      </c>
      <c r="K139" s="476"/>
      <c r="L139" s="485"/>
      <c r="M139" s="476">
        <f t="shared" si="31"/>
        <v>0</v>
      </c>
      <c r="N139" s="485"/>
      <c r="O139" s="476">
        <f t="shared" si="32"/>
        <v>0</v>
      </c>
      <c r="P139" s="476">
        <f t="shared" si="33"/>
        <v>0</v>
      </c>
    </row>
    <row r="140" spans="2:16" ht="12.5">
      <c r="B140" s="160" t="str">
        <f t="shared" si="21"/>
        <v/>
      </c>
      <c r="C140" s="470">
        <f>IF(D93="","-",+C139+1)</f>
        <v>2059</v>
      </c>
      <c r="D140" s="345">
        <f>IF(F139+SUM(E$99:E139)=D$92,F139,D$92-SUM(E$99:E139))</f>
        <v>0</v>
      </c>
      <c r="E140" s="482">
        <f t="shared" si="24"/>
        <v>0</v>
      </c>
      <c r="F140" s="483">
        <f t="shared" si="25"/>
        <v>0</v>
      </c>
      <c r="G140" s="483">
        <f t="shared" si="26"/>
        <v>0</v>
      </c>
      <c r="H140" s="484">
        <f t="shared" si="27"/>
        <v>0</v>
      </c>
      <c r="I140" s="540">
        <f t="shared" si="28"/>
        <v>0</v>
      </c>
      <c r="J140" s="476">
        <f t="shared" si="30"/>
        <v>0</v>
      </c>
      <c r="K140" s="476"/>
      <c r="L140" s="485"/>
      <c r="M140" s="476">
        <f t="shared" si="31"/>
        <v>0</v>
      </c>
      <c r="N140" s="485"/>
      <c r="O140" s="476">
        <f t="shared" si="32"/>
        <v>0</v>
      </c>
      <c r="P140" s="476">
        <f t="shared" si="33"/>
        <v>0</v>
      </c>
    </row>
    <row r="141" spans="2:16" ht="12.5">
      <c r="B141" s="160" t="str">
        <f t="shared" si="21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4"/>
        <v>0</v>
      </c>
      <c r="F141" s="483">
        <f t="shared" si="25"/>
        <v>0</v>
      </c>
      <c r="G141" s="483">
        <f t="shared" si="26"/>
        <v>0</v>
      </c>
      <c r="H141" s="484">
        <f t="shared" si="27"/>
        <v>0</v>
      </c>
      <c r="I141" s="540">
        <f t="shared" si="28"/>
        <v>0</v>
      </c>
      <c r="J141" s="476">
        <f t="shared" si="30"/>
        <v>0</v>
      </c>
      <c r="K141" s="476"/>
      <c r="L141" s="485"/>
      <c r="M141" s="476">
        <f t="shared" si="31"/>
        <v>0</v>
      </c>
      <c r="N141" s="485"/>
      <c r="O141" s="476">
        <f t="shared" si="32"/>
        <v>0</v>
      </c>
      <c r="P141" s="476">
        <f t="shared" si="33"/>
        <v>0</v>
      </c>
    </row>
    <row r="142" spans="2:16" ht="12.5">
      <c r="B142" s="160" t="str">
        <f t="shared" si="21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4"/>
        <v>0</v>
      </c>
      <c r="F142" s="483">
        <f t="shared" si="25"/>
        <v>0</v>
      </c>
      <c r="G142" s="483">
        <f t="shared" si="26"/>
        <v>0</v>
      </c>
      <c r="H142" s="484">
        <f t="shared" si="27"/>
        <v>0</v>
      </c>
      <c r="I142" s="540">
        <f t="shared" si="28"/>
        <v>0</v>
      </c>
      <c r="J142" s="476">
        <f t="shared" si="30"/>
        <v>0</v>
      </c>
      <c r="K142" s="476"/>
      <c r="L142" s="485"/>
      <c r="M142" s="476">
        <f t="shared" si="31"/>
        <v>0</v>
      </c>
      <c r="N142" s="485"/>
      <c r="O142" s="476">
        <f t="shared" si="32"/>
        <v>0</v>
      </c>
      <c r="P142" s="476">
        <f t="shared" si="33"/>
        <v>0</v>
      </c>
    </row>
    <row r="143" spans="2:16" ht="12.5">
      <c r="B143" s="160" t="str">
        <f t="shared" si="21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4"/>
        <v>0</v>
      </c>
      <c r="F143" s="483">
        <f t="shared" si="25"/>
        <v>0</v>
      </c>
      <c r="G143" s="483">
        <f t="shared" si="26"/>
        <v>0</v>
      </c>
      <c r="H143" s="484">
        <f t="shared" si="27"/>
        <v>0</v>
      </c>
      <c r="I143" s="540">
        <f t="shared" si="28"/>
        <v>0</v>
      </c>
      <c r="J143" s="476">
        <f t="shared" si="30"/>
        <v>0</v>
      </c>
      <c r="K143" s="476"/>
      <c r="L143" s="485"/>
      <c r="M143" s="476">
        <f t="shared" si="31"/>
        <v>0</v>
      </c>
      <c r="N143" s="485"/>
      <c r="O143" s="476">
        <f t="shared" si="32"/>
        <v>0</v>
      </c>
      <c r="P143" s="476">
        <f t="shared" si="33"/>
        <v>0</v>
      </c>
    </row>
    <row r="144" spans="2:16" ht="12.5">
      <c r="B144" s="160" t="str">
        <f t="shared" si="21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4"/>
        <v>0</v>
      </c>
      <c r="F144" s="483">
        <f t="shared" si="25"/>
        <v>0</v>
      </c>
      <c r="G144" s="483">
        <f t="shared" si="26"/>
        <v>0</v>
      </c>
      <c r="H144" s="484">
        <f t="shared" si="27"/>
        <v>0</v>
      </c>
      <c r="I144" s="540">
        <f t="shared" si="28"/>
        <v>0</v>
      </c>
      <c r="J144" s="476">
        <f t="shared" si="30"/>
        <v>0</v>
      </c>
      <c r="K144" s="476"/>
      <c r="L144" s="485"/>
      <c r="M144" s="476">
        <f t="shared" si="31"/>
        <v>0</v>
      </c>
      <c r="N144" s="485"/>
      <c r="O144" s="476">
        <f t="shared" si="32"/>
        <v>0</v>
      </c>
      <c r="P144" s="476">
        <f t="shared" si="33"/>
        <v>0</v>
      </c>
    </row>
    <row r="145" spans="2:16" ht="12.5">
      <c r="B145" s="160" t="str">
        <f t="shared" si="21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4"/>
        <v>0</v>
      </c>
      <c r="F145" s="483">
        <f t="shared" si="25"/>
        <v>0</v>
      </c>
      <c r="G145" s="483">
        <f t="shared" si="26"/>
        <v>0</v>
      </c>
      <c r="H145" s="484">
        <f t="shared" si="27"/>
        <v>0</v>
      </c>
      <c r="I145" s="540">
        <f t="shared" si="28"/>
        <v>0</v>
      </c>
      <c r="J145" s="476">
        <f t="shared" si="30"/>
        <v>0</v>
      </c>
      <c r="K145" s="476"/>
      <c r="L145" s="485"/>
      <c r="M145" s="476">
        <f t="shared" si="31"/>
        <v>0</v>
      </c>
      <c r="N145" s="485"/>
      <c r="O145" s="476">
        <f t="shared" si="32"/>
        <v>0</v>
      </c>
      <c r="P145" s="476">
        <f t="shared" si="33"/>
        <v>0</v>
      </c>
    </row>
    <row r="146" spans="2:16" ht="12.5">
      <c r="B146" s="160" t="str">
        <f t="shared" si="21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4"/>
        <v>0</v>
      </c>
      <c r="F146" s="483">
        <f t="shared" si="25"/>
        <v>0</v>
      </c>
      <c r="G146" s="483">
        <f t="shared" si="26"/>
        <v>0</v>
      </c>
      <c r="H146" s="484">
        <f t="shared" si="27"/>
        <v>0</v>
      </c>
      <c r="I146" s="540">
        <f t="shared" si="28"/>
        <v>0</v>
      </c>
      <c r="J146" s="476">
        <f t="shared" si="30"/>
        <v>0</v>
      </c>
      <c r="K146" s="476"/>
      <c r="L146" s="485"/>
      <c r="M146" s="476">
        <f t="shared" si="31"/>
        <v>0</v>
      </c>
      <c r="N146" s="485"/>
      <c r="O146" s="476">
        <f t="shared" si="32"/>
        <v>0</v>
      </c>
      <c r="P146" s="476">
        <f t="shared" si="33"/>
        <v>0</v>
      </c>
    </row>
    <row r="147" spans="2:16" ht="12.5">
      <c r="B147" s="160" t="str">
        <f t="shared" si="21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4"/>
        <v>0</v>
      </c>
      <c r="F147" s="483">
        <f t="shared" si="25"/>
        <v>0</v>
      </c>
      <c r="G147" s="483">
        <f t="shared" si="26"/>
        <v>0</v>
      </c>
      <c r="H147" s="484">
        <f t="shared" si="27"/>
        <v>0</v>
      </c>
      <c r="I147" s="540">
        <f t="shared" si="28"/>
        <v>0</v>
      </c>
      <c r="J147" s="476">
        <f t="shared" si="30"/>
        <v>0</v>
      </c>
      <c r="K147" s="476"/>
      <c r="L147" s="485"/>
      <c r="M147" s="476">
        <f t="shared" si="31"/>
        <v>0</v>
      </c>
      <c r="N147" s="485"/>
      <c r="O147" s="476">
        <f t="shared" si="32"/>
        <v>0</v>
      </c>
      <c r="P147" s="476">
        <f t="shared" si="33"/>
        <v>0</v>
      </c>
    </row>
    <row r="148" spans="2:16" ht="12.5">
      <c r="B148" s="160" t="str">
        <f t="shared" si="21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4"/>
        <v>0</v>
      </c>
      <c r="F148" s="483">
        <f t="shared" si="25"/>
        <v>0</v>
      </c>
      <c r="G148" s="483">
        <f t="shared" si="26"/>
        <v>0</v>
      </c>
      <c r="H148" s="484">
        <f t="shared" si="27"/>
        <v>0</v>
      </c>
      <c r="I148" s="540">
        <f t="shared" si="28"/>
        <v>0</v>
      </c>
      <c r="J148" s="476">
        <f t="shared" si="30"/>
        <v>0</v>
      </c>
      <c r="K148" s="476"/>
      <c r="L148" s="485"/>
      <c r="M148" s="476">
        <f t="shared" si="31"/>
        <v>0</v>
      </c>
      <c r="N148" s="485"/>
      <c r="O148" s="476">
        <f t="shared" si="32"/>
        <v>0</v>
      </c>
      <c r="P148" s="476">
        <f t="shared" si="33"/>
        <v>0</v>
      </c>
    </row>
    <row r="149" spans="2:16" ht="12.5">
      <c r="B149" s="160" t="str">
        <f t="shared" si="21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4"/>
        <v>0</v>
      </c>
      <c r="F149" s="483">
        <f t="shared" si="25"/>
        <v>0</v>
      </c>
      <c r="G149" s="483">
        <f t="shared" si="26"/>
        <v>0</v>
      </c>
      <c r="H149" s="484">
        <f t="shared" si="27"/>
        <v>0</v>
      </c>
      <c r="I149" s="540">
        <f t="shared" si="28"/>
        <v>0</v>
      </c>
      <c r="J149" s="476">
        <f t="shared" si="30"/>
        <v>0</v>
      </c>
      <c r="K149" s="476"/>
      <c r="L149" s="485"/>
      <c r="M149" s="476">
        <f t="shared" si="31"/>
        <v>0</v>
      </c>
      <c r="N149" s="485"/>
      <c r="O149" s="476">
        <f t="shared" si="32"/>
        <v>0</v>
      </c>
      <c r="P149" s="476">
        <f t="shared" si="33"/>
        <v>0</v>
      </c>
    </row>
    <row r="150" spans="2:16" ht="12.5">
      <c r="B150" s="160" t="str">
        <f t="shared" si="21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4"/>
        <v>0</v>
      </c>
      <c r="F150" s="483">
        <f t="shared" si="25"/>
        <v>0</v>
      </c>
      <c r="G150" s="483">
        <f t="shared" si="26"/>
        <v>0</v>
      </c>
      <c r="H150" s="484">
        <f t="shared" si="27"/>
        <v>0</v>
      </c>
      <c r="I150" s="540">
        <f t="shared" si="28"/>
        <v>0</v>
      </c>
      <c r="J150" s="476">
        <f t="shared" si="30"/>
        <v>0</v>
      </c>
      <c r="K150" s="476"/>
      <c r="L150" s="485"/>
      <c r="M150" s="476">
        <f t="shared" si="31"/>
        <v>0</v>
      </c>
      <c r="N150" s="485"/>
      <c r="O150" s="476">
        <f t="shared" si="32"/>
        <v>0</v>
      </c>
      <c r="P150" s="476">
        <f t="shared" si="33"/>
        <v>0</v>
      </c>
    </row>
    <row r="151" spans="2:16" ht="12.5">
      <c r="B151" s="160" t="str">
        <f t="shared" si="21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4"/>
        <v>0</v>
      </c>
      <c r="F151" s="483">
        <f t="shared" si="25"/>
        <v>0</v>
      </c>
      <c r="G151" s="483">
        <f t="shared" si="26"/>
        <v>0</v>
      </c>
      <c r="H151" s="484">
        <f t="shared" si="27"/>
        <v>0</v>
      </c>
      <c r="I151" s="540">
        <f t="shared" si="28"/>
        <v>0</v>
      </c>
      <c r="J151" s="476">
        <f t="shared" si="30"/>
        <v>0</v>
      </c>
      <c r="K151" s="476"/>
      <c r="L151" s="485"/>
      <c r="M151" s="476">
        <f t="shared" si="31"/>
        <v>0</v>
      </c>
      <c r="N151" s="485"/>
      <c r="O151" s="476">
        <f t="shared" si="32"/>
        <v>0</v>
      </c>
      <c r="P151" s="476">
        <f t="shared" si="33"/>
        <v>0</v>
      </c>
    </row>
    <row r="152" spans="2:16" ht="12.5">
      <c r="B152" s="160" t="str">
        <f t="shared" si="21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4"/>
        <v>0</v>
      </c>
      <c r="F152" s="483">
        <f t="shared" si="25"/>
        <v>0</v>
      </c>
      <c r="G152" s="483">
        <f t="shared" si="26"/>
        <v>0</v>
      </c>
      <c r="H152" s="484">
        <f t="shared" si="27"/>
        <v>0</v>
      </c>
      <c r="I152" s="540">
        <f t="shared" si="28"/>
        <v>0</v>
      </c>
      <c r="J152" s="476">
        <f t="shared" si="30"/>
        <v>0</v>
      </c>
      <c r="K152" s="476"/>
      <c r="L152" s="485"/>
      <c r="M152" s="476">
        <f t="shared" si="31"/>
        <v>0</v>
      </c>
      <c r="N152" s="485"/>
      <c r="O152" s="476">
        <f t="shared" si="32"/>
        <v>0</v>
      </c>
      <c r="P152" s="476">
        <f t="shared" si="33"/>
        <v>0</v>
      </c>
    </row>
    <row r="153" spans="2:16" ht="12.5">
      <c r="B153" s="160" t="str">
        <f t="shared" si="21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4"/>
        <v>0</v>
      </c>
      <c r="F153" s="483">
        <f t="shared" si="25"/>
        <v>0</v>
      </c>
      <c r="G153" s="483">
        <f t="shared" si="26"/>
        <v>0</v>
      </c>
      <c r="H153" s="484">
        <f t="shared" si="27"/>
        <v>0</v>
      </c>
      <c r="I153" s="540">
        <f t="shared" si="28"/>
        <v>0</v>
      </c>
      <c r="J153" s="476">
        <f t="shared" si="30"/>
        <v>0</v>
      </c>
      <c r="K153" s="476"/>
      <c r="L153" s="485"/>
      <c r="M153" s="476">
        <f t="shared" si="31"/>
        <v>0</v>
      </c>
      <c r="N153" s="485"/>
      <c r="O153" s="476">
        <f t="shared" si="32"/>
        <v>0</v>
      </c>
      <c r="P153" s="476">
        <f t="shared" si="33"/>
        <v>0</v>
      </c>
    </row>
    <row r="154" spans="2:16" ht="13" thickBot="1">
      <c r="B154" s="160" t="str">
        <f t="shared" si="21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4"/>
        <v>0</v>
      </c>
      <c r="F154" s="488">
        <f t="shared" si="25"/>
        <v>0</v>
      </c>
      <c r="G154" s="488">
        <f t="shared" si="26"/>
        <v>0</v>
      </c>
      <c r="H154" s="610">
        <f t="shared" ref="H154" si="34">+J$94*G154+E154</f>
        <v>0</v>
      </c>
      <c r="I154" s="611">
        <f t="shared" ref="I154" si="35">+J$95*G154+E154</f>
        <v>0</v>
      </c>
      <c r="J154" s="493">
        <f t="shared" si="30"/>
        <v>0</v>
      </c>
      <c r="K154" s="476"/>
      <c r="L154" s="492"/>
      <c r="M154" s="493">
        <f t="shared" si="31"/>
        <v>0</v>
      </c>
      <c r="N154" s="492"/>
      <c r="O154" s="493">
        <f t="shared" si="32"/>
        <v>0</v>
      </c>
      <c r="P154" s="493">
        <f t="shared" si="33"/>
        <v>0</v>
      </c>
    </row>
    <row r="155" spans="2:16" ht="12.5">
      <c r="C155" s="345" t="s">
        <v>77</v>
      </c>
      <c r="D155" s="346"/>
      <c r="E155" s="346">
        <f>SUM(E99:E154)</f>
        <v>1165593.0099999998</v>
      </c>
      <c r="F155" s="346"/>
      <c r="G155" s="346"/>
      <c r="H155" s="346">
        <f>SUM(H99:H154)</f>
        <v>3717075.3807629556</v>
      </c>
      <c r="I155" s="346">
        <f>SUM(I99:I154)</f>
        <v>3717075.3807629556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62"/>
  <sheetViews>
    <sheetView topLeftCell="A58" zoomScale="80" zoomScaleNormal="80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24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176400.42982895498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176400.42982895498</v>
      </c>
      <c r="O6" s="231"/>
      <c r="P6" s="231"/>
    </row>
    <row r="7" spans="1:16" ht="13.5" thickBot="1">
      <c r="C7" s="429" t="s">
        <v>46</v>
      </c>
      <c r="D7" s="597" t="s">
        <v>302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303</v>
      </c>
      <c r="E9" s="575" t="s">
        <v>304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1345382.62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34496.990256410259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2018</v>
      </c>
      <c r="D17" s="582">
        <v>0</v>
      </c>
      <c r="E17" s="605">
        <v>13511.111111111109</v>
      </c>
      <c r="F17" s="582">
        <v>1202488.888888889</v>
      </c>
      <c r="G17" s="605">
        <v>85515.508884209848</v>
      </c>
      <c r="H17" s="585">
        <v>85515.508884209848</v>
      </c>
      <c r="I17" s="473">
        <f>H17-G17</f>
        <v>0</v>
      </c>
      <c r="J17" s="473"/>
      <c r="K17" s="552">
        <f t="shared" ref="K17:K22" si="0">+G17</f>
        <v>85515.508884209848</v>
      </c>
      <c r="L17" s="475">
        <f t="shared" ref="L17:L72" si="1">IF(K17&lt;&gt;0,+G17-K17,0)</f>
        <v>0</v>
      </c>
      <c r="M17" s="552">
        <f t="shared" ref="M17:M22" si="2">+H17</f>
        <v>85515.508884209848</v>
      </c>
      <c r="N17" s="475">
        <f t="shared" ref="N17:N72" si="3">IF(M17&lt;&gt;0,+H17-M17,0)</f>
        <v>0</v>
      </c>
      <c r="O17" s="476">
        <f t="shared" ref="O17:O72" si="4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2019</v>
      </c>
      <c r="D18" s="582">
        <v>1202488.888888889</v>
      </c>
      <c r="E18" s="583">
        <v>30400</v>
      </c>
      <c r="F18" s="582">
        <v>1172088.888888889</v>
      </c>
      <c r="G18" s="583">
        <v>162968.67771034624</v>
      </c>
      <c r="H18" s="585">
        <v>162968.67771034624</v>
      </c>
      <c r="I18" s="473">
        <f>H18-G18</f>
        <v>0</v>
      </c>
      <c r="J18" s="473"/>
      <c r="K18" s="476">
        <f t="shared" si="0"/>
        <v>162968.67771034624</v>
      </c>
      <c r="L18" s="476">
        <f t="shared" si="1"/>
        <v>0</v>
      </c>
      <c r="M18" s="476">
        <f t="shared" si="2"/>
        <v>162968.67771034624</v>
      </c>
      <c r="N18" s="476">
        <f t="shared" si="3"/>
        <v>0</v>
      </c>
      <c r="O18" s="476">
        <f t="shared" si="4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2020</v>
      </c>
      <c r="D19" s="582">
        <v>1304405.6666666667</v>
      </c>
      <c r="E19" s="583">
        <v>32022.357142857141</v>
      </c>
      <c r="F19" s="582">
        <v>1272383.3095238097</v>
      </c>
      <c r="G19" s="583">
        <v>171175.11640159666</v>
      </c>
      <c r="H19" s="585">
        <v>171175.11640159666</v>
      </c>
      <c r="I19" s="473">
        <f t="shared" ref="I19:I71" si="5">H19-G19</f>
        <v>0</v>
      </c>
      <c r="J19" s="473"/>
      <c r="K19" s="476">
        <f t="shared" si="0"/>
        <v>171175.11640159666</v>
      </c>
      <c r="L19" s="476">
        <f t="shared" ref="L19" si="6">IF(K19&lt;&gt;0,+G19-K19,0)</f>
        <v>0</v>
      </c>
      <c r="M19" s="476">
        <f t="shared" si="2"/>
        <v>171175.11640159666</v>
      </c>
      <c r="N19" s="476">
        <f t="shared" si="3"/>
        <v>0</v>
      </c>
      <c r="O19" s="476">
        <f t="shared" si="4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2021</v>
      </c>
      <c r="D20" s="582">
        <v>1269449.5317460317</v>
      </c>
      <c r="E20" s="583">
        <v>31287.976744186046</v>
      </c>
      <c r="F20" s="582">
        <v>1238161.5550018456</v>
      </c>
      <c r="G20" s="583">
        <v>166475.36158990141</v>
      </c>
      <c r="H20" s="585">
        <v>166475.36158990141</v>
      </c>
      <c r="I20" s="473">
        <f t="shared" si="5"/>
        <v>0</v>
      </c>
      <c r="J20" s="473"/>
      <c r="K20" s="476">
        <f t="shared" si="0"/>
        <v>166475.36158990141</v>
      </c>
      <c r="L20" s="476">
        <f t="shared" ref="L20" si="8">IF(K20&lt;&gt;0,+G20-K20,0)</f>
        <v>0</v>
      </c>
      <c r="M20" s="476">
        <f t="shared" si="2"/>
        <v>166475.36158990141</v>
      </c>
      <c r="N20" s="476">
        <f t="shared" si="3"/>
        <v>0</v>
      </c>
      <c r="O20" s="476">
        <f t="shared" si="4"/>
        <v>0</v>
      </c>
      <c r="P20" s="241"/>
    </row>
    <row r="21" spans="2:16" ht="12.5">
      <c r="B21" s="160" t="str">
        <f t="shared" si="7"/>
        <v/>
      </c>
      <c r="C21" s="470">
        <f>IF(D11="","-",+C20+1)</f>
        <v>2022</v>
      </c>
      <c r="D21" s="582">
        <v>1238161.5550018456</v>
      </c>
      <c r="E21" s="583">
        <v>32032.928571428572</v>
      </c>
      <c r="F21" s="582">
        <v>1206128.6264304169</v>
      </c>
      <c r="G21" s="583">
        <v>163793.91335875148</v>
      </c>
      <c r="H21" s="585">
        <v>163793.91335875148</v>
      </c>
      <c r="I21" s="473">
        <f t="shared" si="5"/>
        <v>0</v>
      </c>
      <c r="J21" s="473"/>
      <c r="K21" s="476">
        <f t="shared" si="0"/>
        <v>163793.91335875148</v>
      </c>
      <c r="L21" s="476">
        <f t="shared" ref="L21" si="9">IF(K21&lt;&gt;0,+G21-K21,0)</f>
        <v>0</v>
      </c>
      <c r="M21" s="476">
        <f t="shared" si="2"/>
        <v>163793.91335875148</v>
      </c>
      <c r="N21" s="476">
        <f t="shared" si="3"/>
        <v>0</v>
      </c>
      <c r="O21" s="476">
        <f t="shared" si="4"/>
        <v>0</v>
      </c>
      <c r="P21" s="241"/>
    </row>
    <row r="22" spans="2:16" ht="12.5">
      <c r="B22" s="160" t="str">
        <f t="shared" si="7"/>
        <v>IU</v>
      </c>
      <c r="C22" s="470">
        <f>IF(D11="","-",+C21+1)</f>
        <v>2023</v>
      </c>
      <c r="D22" s="582">
        <v>1206128.2464304173</v>
      </c>
      <c r="E22" s="583">
        <v>34496.990256410259</v>
      </c>
      <c r="F22" s="582">
        <v>1171631.256174007</v>
      </c>
      <c r="G22" s="583">
        <v>176400.42982895498</v>
      </c>
      <c r="H22" s="585">
        <v>176400.42982895498</v>
      </c>
      <c r="I22" s="473">
        <v>0</v>
      </c>
      <c r="J22" s="473"/>
      <c r="K22" s="476">
        <f t="shared" si="0"/>
        <v>176400.42982895498</v>
      </c>
      <c r="L22" s="476">
        <f t="shared" ref="L22" si="10">IF(K22&lt;&gt;0,+G22-K22,0)</f>
        <v>0</v>
      </c>
      <c r="M22" s="476">
        <f t="shared" si="2"/>
        <v>176400.42982895498</v>
      </c>
      <c r="N22" s="476">
        <f t="shared" ref="N22" si="11">IF(M22&lt;&gt;0,+H22-M22,0)</f>
        <v>0</v>
      </c>
      <c r="O22" s="476">
        <f t="shared" ref="O22" si="12">+N22-L22</f>
        <v>0</v>
      </c>
      <c r="P22" s="241"/>
    </row>
    <row r="23" spans="2:16" ht="12.5">
      <c r="B23" s="160" t="str">
        <f t="shared" si="7"/>
        <v/>
      </c>
      <c r="C23" s="470">
        <f>IF(D11="","-",+C22+1)</f>
        <v>2024</v>
      </c>
      <c r="D23" s="481">
        <f>IF(F22+SUM(E$17:E22)=D$10,F22,D$10-SUM(E$17:E22))</f>
        <v>1171631.256174007</v>
      </c>
      <c r="E23" s="482">
        <f t="shared" ref="E23:E71" si="13">IF(+I$14&lt;F22,I$14,D23)</f>
        <v>34496.990256410259</v>
      </c>
      <c r="F23" s="483">
        <f t="shared" ref="F23:F71" si="14">+D23-E23</f>
        <v>1137134.2659175966</v>
      </c>
      <c r="G23" s="484">
        <f t="shared" ref="G23:G71" si="15">(D23+F23)/2*I$12+E23</f>
        <v>172282.90527113216</v>
      </c>
      <c r="H23" s="453">
        <f t="shared" ref="H23:H71" si="16">+(D23+F23)/2*I$13+E23</f>
        <v>172282.90527113216</v>
      </c>
      <c r="I23" s="473">
        <f t="shared" si="5"/>
        <v>0</v>
      </c>
      <c r="J23" s="473"/>
      <c r="K23" s="485"/>
      <c r="L23" s="476">
        <f t="shared" si="1"/>
        <v>0</v>
      </c>
      <c r="M23" s="485"/>
      <c r="N23" s="476">
        <f t="shared" si="3"/>
        <v>0</v>
      </c>
      <c r="O23" s="476">
        <f t="shared" si="4"/>
        <v>0</v>
      </c>
      <c r="P23" s="241"/>
    </row>
    <row r="24" spans="2:16" ht="12.5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1137134.2659175966</v>
      </c>
      <c r="E24" s="482">
        <f t="shared" si="13"/>
        <v>34496.990256410259</v>
      </c>
      <c r="F24" s="483">
        <f t="shared" si="14"/>
        <v>1102637.2756611863</v>
      </c>
      <c r="G24" s="484">
        <f t="shared" si="15"/>
        <v>168165.38071330925</v>
      </c>
      <c r="H24" s="453">
        <f t="shared" si="16"/>
        <v>168165.38071330925</v>
      </c>
      <c r="I24" s="473">
        <f t="shared" si="5"/>
        <v>0</v>
      </c>
      <c r="J24" s="473"/>
      <c r="K24" s="485"/>
      <c r="L24" s="476">
        <f t="shared" si="1"/>
        <v>0</v>
      </c>
      <c r="M24" s="485"/>
      <c r="N24" s="476">
        <f t="shared" si="3"/>
        <v>0</v>
      </c>
      <c r="O24" s="476">
        <f t="shared" si="4"/>
        <v>0</v>
      </c>
      <c r="P24" s="241"/>
    </row>
    <row r="25" spans="2:16" ht="12.5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1102637.2756611863</v>
      </c>
      <c r="E25" s="482">
        <f t="shared" si="13"/>
        <v>34496.990256410259</v>
      </c>
      <c r="F25" s="483">
        <f t="shared" si="14"/>
        <v>1068140.285404776</v>
      </c>
      <c r="G25" s="484">
        <f t="shared" si="15"/>
        <v>164047.85615548643</v>
      </c>
      <c r="H25" s="453">
        <f t="shared" si="16"/>
        <v>164047.85615548643</v>
      </c>
      <c r="I25" s="473">
        <f t="shared" si="5"/>
        <v>0</v>
      </c>
      <c r="J25" s="473"/>
      <c r="K25" s="485"/>
      <c r="L25" s="476">
        <f t="shared" si="1"/>
        <v>0</v>
      </c>
      <c r="M25" s="485"/>
      <c r="N25" s="476">
        <f t="shared" si="3"/>
        <v>0</v>
      </c>
      <c r="O25" s="476">
        <f t="shared" si="4"/>
        <v>0</v>
      </c>
      <c r="P25" s="241"/>
    </row>
    <row r="26" spans="2:16" ht="12.5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1068140.285404776</v>
      </c>
      <c r="E26" s="482">
        <f t="shared" si="13"/>
        <v>34496.990256410259</v>
      </c>
      <c r="F26" s="483">
        <f t="shared" si="14"/>
        <v>1033643.2951483658</v>
      </c>
      <c r="G26" s="484">
        <f t="shared" si="15"/>
        <v>159930.33159766358</v>
      </c>
      <c r="H26" s="453">
        <f t="shared" si="16"/>
        <v>159930.33159766358</v>
      </c>
      <c r="I26" s="473">
        <f t="shared" si="5"/>
        <v>0</v>
      </c>
      <c r="J26" s="473"/>
      <c r="K26" s="485"/>
      <c r="L26" s="476">
        <f t="shared" si="1"/>
        <v>0</v>
      </c>
      <c r="M26" s="485"/>
      <c r="N26" s="476">
        <f t="shared" si="3"/>
        <v>0</v>
      </c>
      <c r="O26" s="476">
        <f t="shared" si="4"/>
        <v>0</v>
      </c>
      <c r="P26" s="241"/>
    </row>
    <row r="27" spans="2:16" ht="12.5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1033643.2951483658</v>
      </c>
      <c r="E27" s="482">
        <f t="shared" si="13"/>
        <v>34496.990256410259</v>
      </c>
      <c r="F27" s="483">
        <f t="shared" si="14"/>
        <v>999146.30489195557</v>
      </c>
      <c r="G27" s="484">
        <f t="shared" si="15"/>
        <v>155812.80703984073</v>
      </c>
      <c r="H27" s="453">
        <f t="shared" si="16"/>
        <v>155812.80703984073</v>
      </c>
      <c r="I27" s="473">
        <f t="shared" si="5"/>
        <v>0</v>
      </c>
      <c r="J27" s="473"/>
      <c r="K27" s="485"/>
      <c r="L27" s="476">
        <f t="shared" si="1"/>
        <v>0</v>
      </c>
      <c r="M27" s="485"/>
      <c r="N27" s="476">
        <f t="shared" si="3"/>
        <v>0</v>
      </c>
      <c r="O27" s="476">
        <f t="shared" si="4"/>
        <v>0</v>
      </c>
      <c r="P27" s="241"/>
    </row>
    <row r="28" spans="2:16" ht="12.5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999146.30489195557</v>
      </c>
      <c r="E28" s="482">
        <f t="shared" si="13"/>
        <v>34496.990256410259</v>
      </c>
      <c r="F28" s="483">
        <f t="shared" si="14"/>
        <v>964649.31463554536</v>
      </c>
      <c r="G28" s="484">
        <f t="shared" si="15"/>
        <v>151695.28248201788</v>
      </c>
      <c r="H28" s="453">
        <f t="shared" si="16"/>
        <v>151695.28248201788</v>
      </c>
      <c r="I28" s="473">
        <f t="shared" si="5"/>
        <v>0</v>
      </c>
      <c r="J28" s="473"/>
      <c r="K28" s="485"/>
      <c r="L28" s="476">
        <f t="shared" si="1"/>
        <v>0</v>
      </c>
      <c r="M28" s="485"/>
      <c r="N28" s="476">
        <f t="shared" si="3"/>
        <v>0</v>
      </c>
      <c r="O28" s="476">
        <f t="shared" si="4"/>
        <v>0</v>
      </c>
      <c r="P28" s="241"/>
    </row>
    <row r="29" spans="2:16" ht="12.5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964649.31463554536</v>
      </c>
      <c r="E29" s="482">
        <f t="shared" si="13"/>
        <v>34496.990256410259</v>
      </c>
      <c r="F29" s="483">
        <f t="shared" si="14"/>
        <v>930152.32437913516</v>
      </c>
      <c r="G29" s="484">
        <f t="shared" si="15"/>
        <v>147577.75792419503</v>
      </c>
      <c r="H29" s="453">
        <f t="shared" si="16"/>
        <v>147577.75792419503</v>
      </c>
      <c r="I29" s="473">
        <f t="shared" si="5"/>
        <v>0</v>
      </c>
      <c r="J29" s="473"/>
      <c r="K29" s="485"/>
      <c r="L29" s="476">
        <f t="shared" si="1"/>
        <v>0</v>
      </c>
      <c r="M29" s="485"/>
      <c r="N29" s="476">
        <f t="shared" si="3"/>
        <v>0</v>
      </c>
      <c r="O29" s="476">
        <f t="shared" si="4"/>
        <v>0</v>
      </c>
      <c r="P29" s="241"/>
    </row>
    <row r="30" spans="2:16" ht="12.5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930152.32437913516</v>
      </c>
      <c r="E30" s="482">
        <f t="shared" si="13"/>
        <v>34496.990256410259</v>
      </c>
      <c r="F30" s="483">
        <f t="shared" si="14"/>
        <v>895655.33412272495</v>
      </c>
      <c r="G30" s="484">
        <f t="shared" si="15"/>
        <v>143460.23336637221</v>
      </c>
      <c r="H30" s="453">
        <f t="shared" si="16"/>
        <v>143460.23336637221</v>
      </c>
      <c r="I30" s="473">
        <f t="shared" si="5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 ht="12.5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895655.33412272495</v>
      </c>
      <c r="E31" s="482">
        <f t="shared" si="13"/>
        <v>34496.990256410259</v>
      </c>
      <c r="F31" s="483">
        <f t="shared" si="14"/>
        <v>861158.34386631474</v>
      </c>
      <c r="G31" s="484">
        <f t="shared" si="15"/>
        <v>139342.70880854936</v>
      </c>
      <c r="H31" s="453">
        <f t="shared" si="16"/>
        <v>139342.70880854936</v>
      </c>
      <c r="I31" s="473">
        <f t="shared" si="5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 ht="12.5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861158.34386631474</v>
      </c>
      <c r="E32" s="482">
        <f t="shared" si="13"/>
        <v>34496.990256410259</v>
      </c>
      <c r="F32" s="483">
        <f t="shared" si="14"/>
        <v>826661.35360990453</v>
      </c>
      <c r="G32" s="484">
        <f t="shared" si="15"/>
        <v>135225.18425072654</v>
      </c>
      <c r="H32" s="453">
        <f t="shared" si="16"/>
        <v>135225.18425072654</v>
      </c>
      <c r="I32" s="473">
        <f t="shared" si="5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 ht="12.5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826661.35360990453</v>
      </c>
      <c r="E33" s="482">
        <f t="shared" si="13"/>
        <v>34496.990256410259</v>
      </c>
      <c r="F33" s="483">
        <f t="shared" si="14"/>
        <v>792164.36335349432</v>
      </c>
      <c r="G33" s="484">
        <f t="shared" si="15"/>
        <v>131107.65969290366</v>
      </c>
      <c r="H33" s="453">
        <f t="shared" si="16"/>
        <v>131107.65969290366</v>
      </c>
      <c r="I33" s="473">
        <f t="shared" si="5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 ht="12.5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792164.36335349432</v>
      </c>
      <c r="E34" s="482">
        <f t="shared" si="13"/>
        <v>34496.990256410259</v>
      </c>
      <c r="F34" s="483">
        <f t="shared" si="14"/>
        <v>757667.37309708411</v>
      </c>
      <c r="G34" s="484">
        <f t="shared" si="15"/>
        <v>126990.13513508084</v>
      </c>
      <c r="H34" s="453">
        <f t="shared" si="16"/>
        <v>126990.13513508084</v>
      </c>
      <c r="I34" s="473">
        <f t="shared" si="5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 ht="12.5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757667.37309708411</v>
      </c>
      <c r="E35" s="482">
        <f t="shared" si="13"/>
        <v>34496.990256410259</v>
      </c>
      <c r="F35" s="483">
        <f t="shared" si="14"/>
        <v>723170.3828406739</v>
      </c>
      <c r="G35" s="484">
        <f t="shared" si="15"/>
        <v>122872.61057725799</v>
      </c>
      <c r="H35" s="453">
        <f t="shared" si="16"/>
        <v>122872.61057725799</v>
      </c>
      <c r="I35" s="473">
        <f t="shared" si="5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 ht="12.5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723170.3828406739</v>
      </c>
      <c r="E36" s="482">
        <f t="shared" si="13"/>
        <v>34496.990256410259</v>
      </c>
      <c r="F36" s="483">
        <f t="shared" si="14"/>
        <v>688673.3925842637</v>
      </c>
      <c r="G36" s="484">
        <f t="shared" si="15"/>
        <v>118755.08601943517</v>
      </c>
      <c r="H36" s="453">
        <f t="shared" si="16"/>
        <v>118755.08601943517</v>
      </c>
      <c r="I36" s="473">
        <f t="shared" si="5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 ht="12.5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688673.3925842637</v>
      </c>
      <c r="E37" s="482">
        <f t="shared" si="13"/>
        <v>34496.990256410259</v>
      </c>
      <c r="F37" s="483">
        <f t="shared" si="14"/>
        <v>654176.40232785349</v>
      </c>
      <c r="G37" s="484">
        <f t="shared" si="15"/>
        <v>114637.56146161232</v>
      </c>
      <c r="H37" s="453">
        <f t="shared" si="16"/>
        <v>114637.56146161232</v>
      </c>
      <c r="I37" s="473">
        <f t="shared" si="5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 ht="12.5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654176.40232785349</v>
      </c>
      <c r="E38" s="482">
        <f t="shared" si="13"/>
        <v>34496.990256410259</v>
      </c>
      <c r="F38" s="483">
        <f t="shared" si="14"/>
        <v>619679.41207144328</v>
      </c>
      <c r="G38" s="484">
        <f t="shared" si="15"/>
        <v>110520.03690378947</v>
      </c>
      <c r="H38" s="453">
        <f t="shared" si="16"/>
        <v>110520.03690378947</v>
      </c>
      <c r="I38" s="473">
        <f t="shared" si="5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 ht="12.5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619679.41207144328</v>
      </c>
      <c r="E39" s="482">
        <f t="shared" si="13"/>
        <v>34496.990256410259</v>
      </c>
      <c r="F39" s="483">
        <f t="shared" si="14"/>
        <v>585182.42181503307</v>
      </c>
      <c r="G39" s="484">
        <f t="shared" si="15"/>
        <v>106402.51234596662</v>
      </c>
      <c r="H39" s="453">
        <f t="shared" si="16"/>
        <v>106402.51234596662</v>
      </c>
      <c r="I39" s="473">
        <f t="shared" si="5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 ht="12.5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585182.42181503307</v>
      </c>
      <c r="E40" s="482">
        <f t="shared" si="13"/>
        <v>34496.990256410259</v>
      </c>
      <c r="F40" s="483">
        <f t="shared" si="14"/>
        <v>550685.43155862286</v>
      </c>
      <c r="G40" s="484">
        <f t="shared" si="15"/>
        <v>102284.9877881438</v>
      </c>
      <c r="H40" s="453">
        <f t="shared" si="16"/>
        <v>102284.9877881438</v>
      </c>
      <c r="I40" s="473">
        <f t="shared" si="5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 ht="12.5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550685.43155862286</v>
      </c>
      <c r="E41" s="482">
        <f t="shared" si="13"/>
        <v>34496.990256410259</v>
      </c>
      <c r="F41" s="483">
        <f t="shared" si="14"/>
        <v>516188.4413022126</v>
      </c>
      <c r="G41" s="484">
        <f t="shared" si="15"/>
        <v>98167.463230320951</v>
      </c>
      <c r="H41" s="453">
        <f t="shared" si="16"/>
        <v>98167.463230320951</v>
      </c>
      <c r="I41" s="473">
        <f t="shared" si="5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 ht="12.5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516188.4413022126</v>
      </c>
      <c r="E42" s="482">
        <f t="shared" si="13"/>
        <v>34496.990256410259</v>
      </c>
      <c r="F42" s="483">
        <f t="shared" si="14"/>
        <v>481691.45104580233</v>
      </c>
      <c r="G42" s="484">
        <f t="shared" si="15"/>
        <v>94049.938672498101</v>
      </c>
      <c r="H42" s="453">
        <f t="shared" si="16"/>
        <v>94049.938672498101</v>
      </c>
      <c r="I42" s="473">
        <f t="shared" si="5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 ht="12.5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481691.45104580233</v>
      </c>
      <c r="E43" s="482">
        <f t="shared" si="13"/>
        <v>34496.990256410259</v>
      </c>
      <c r="F43" s="483">
        <f t="shared" si="14"/>
        <v>447194.46078939206</v>
      </c>
      <c r="G43" s="484">
        <f t="shared" si="15"/>
        <v>89932.414114675252</v>
      </c>
      <c r="H43" s="453">
        <f t="shared" si="16"/>
        <v>89932.414114675252</v>
      </c>
      <c r="I43" s="473">
        <f t="shared" si="5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 ht="12.5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447194.46078939206</v>
      </c>
      <c r="E44" s="482">
        <f t="shared" si="13"/>
        <v>34496.990256410259</v>
      </c>
      <c r="F44" s="483">
        <f t="shared" si="14"/>
        <v>412697.4705329818</v>
      </c>
      <c r="G44" s="484">
        <f t="shared" si="15"/>
        <v>85814.889556852402</v>
      </c>
      <c r="H44" s="453">
        <f t="shared" si="16"/>
        <v>85814.889556852402</v>
      </c>
      <c r="I44" s="473">
        <f t="shared" si="5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 ht="12.5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412697.4705329818</v>
      </c>
      <c r="E45" s="482">
        <f t="shared" si="13"/>
        <v>34496.990256410259</v>
      </c>
      <c r="F45" s="483">
        <f t="shared" si="14"/>
        <v>378200.48027657153</v>
      </c>
      <c r="G45" s="484">
        <f t="shared" si="15"/>
        <v>81697.364999029553</v>
      </c>
      <c r="H45" s="453">
        <f t="shared" si="16"/>
        <v>81697.364999029553</v>
      </c>
      <c r="I45" s="473">
        <f t="shared" si="5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 ht="12.5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378200.48027657153</v>
      </c>
      <c r="E46" s="482">
        <f t="shared" si="13"/>
        <v>34496.990256410259</v>
      </c>
      <c r="F46" s="483">
        <f t="shared" si="14"/>
        <v>343703.49002016126</v>
      </c>
      <c r="G46" s="484">
        <f t="shared" si="15"/>
        <v>77579.840441206718</v>
      </c>
      <c r="H46" s="453">
        <f t="shared" si="16"/>
        <v>77579.840441206718</v>
      </c>
      <c r="I46" s="473">
        <f t="shared" si="5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 ht="12.5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343703.49002016126</v>
      </c>
      <c r="E47" s="482">
        <f t="shared" si="13"/>
        <v>34496.990256410259</v>
      </c>
      <c r="F47" s="483">
        <f t="shared" si="14"/>
        <v>309206.499763751</v>
      </c>
      <c r="G47" s="484">
        <f t="shared" si="15"/>
        <v>73462.315883383853</v>
      </c>
      <c r="H47" s="453">
        <f t="shared" si="16"/>
        <v>73462.315883383853</v>
      </c>
      <c r="I47" s="473">
        <f t="shared" si="5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 ht="12.5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309206.499763751</v>
      </c>
      <c r="E48" s="482">
        <f t="shared" si="13"/>
        <v>34496.990256410259</v>
      </c>
      <c r="F48" s="483">
        <f t="shared" si="14"/>
        <v>274709.50950734073</v>
      </c>
      <c r="G48" s="484">
        <f t="shared" si="15"/>
        <v>69344.791325561018</v>
      </c>
      <c r="H48" s="453">
        <f t="shared" si="16"/>
        <v>69344.791325561018</v>
      </c>
      <c r="I48" s="473">
        <f t="shared" si="5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 ht="12.5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274709.50950734073</v>
      </c>
      <c r="E49" s="482">
        <f t="shared" si="13"/>
        <v>34496.990256410259</v>
      </c>
      <c r="F49" s="483">
        <f t="shared" si="14"/>
        <v>240212.51925093046</v>
      </c>
      <c r="G49" s="484">
        <f t="shared" si="15"/>
        <v>65227.266767738169</v>
      </c>
      <c r="H49" s="453">
        <f t="shared" si="16"/>
        <v>65227.266767738169</v>
      </c>
      <c r="I49" s="473">
        <f t="shared" si="5"/>
        <v>0</v>
      </c>
      <c r="J49" s="473"/>
      <c r="K49" s="485"/>
      <c r="L49" s="476">
        <f t="shared" si="1"/>
        <v>0</v>
      </c>
      <c r="M49" s="485"/>
      <c r="N49" s="476">
        <f t="shared" si="3"/>
        <v>0</v>
      </c>
      <c r="O49" s="476">
        <f t="shared" si="4"/>
        <v>0</v>
      </c>
      <c r="P49" s="241"/>
    </row>
    <row r="50" spans="2:16" ht="12.5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240212.51925093046</v>
      </c>
      <c r="E50" s="482">
        <f t="shared" si="13"/>
        <v>34496.990256410259</v>
      </c>
      <c r="F50" s="483">
        <f t="shared" si="14"/>
        <v>205715.52899452019</v>
      </c>
      <c r="G50" s="484">
        <f t="shared" si="15"/>
        <v>61109.742209915319</v>
      </c>
      <c r="H50" s="453">
        <f t="shared" si="16"/>
        <v>61109.742209915319</v>
      </c>
      <c r="I50" s="473">
        <f t="shared" si="5"/>
        <v>0</v>
      </c>
      <c r="J50" s="473"/>
      <c r="K50" s="485"/>
      <c r="L50" s="476">
        <f t="shared" si="1"/>
        <v>0</v>
      </c>
      <c r="M50" s="485"/>
      <c r="N50" s="476">
        <f t="shared" si="3"/>
        <v>0</v>
      </c>
      <c r="O50" s="476">
        <f t="shared" si="4"/>
        <v>0</v>
      </c>
      <c r="P50" s="241"/>
    </row>
    <row r="51" spans="2:16" ht="12.5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205715.52899452019</v>
      </c>
      <c r="E51" s="482">
        <f t="shared" si="13"/>
        <v>34496.990256410259</v>
      </c>
      <c r="F51" s="483">
        <f t="shared" si="14"/>
        <v>171218.53873810993</v>
      </c>
      <c r="G51" s="484">
        <f t="shared" si="15"/>
        <v>56992.21765209247</v>
      </c>
      <c r="H51" s="453">
        <f t="shared" si="16"/>
        <v>56992.21765209247</v>
      </c>
      <c r="I51" s="473">
        <f t="shared" si="5"/>
        <v>0</v>
      </c>
      <c r="J51" s="473"/>
      <c r="K51" s="485"/>
      <c r="L51" s="476">
        <f t="shared" si="1"/>
        <v>0</v>
      </c>
      <c r="M51" s="485"/>
      <c r="N51" s="476">
        <f t="shared" si="3"/>
        <v>0</v>
      </c>
      <c r="O51" s="476">
        <f t="shared" si="4"/>
        <v>0</v>
      </c>
      <c r="P51" s="241"/>
    </row>
    <row r="52" spans="2:16" ht="12.5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171218.53873810993</v>
      </c>
      <c r="E52" s="482">
        <f t="shared" si="13"/>
        <v>34496.990256410259</v>
      </c>
      <c r="F52" s="483">
        <f t="shared" si="14"/>
        <v>136721.54848169966</v>
      </c>
      <c r="G52" s="484">
        <f t="shared" si="15"/>
        <v>52874.69309426962</v>
      </c>
      <c r="H52" s="453">
        <f t="shared" si="16"/>
        <v>52874.69309426962</v>
      </c>
      <c r="I52" s="473">
        <f t="shared" si="5"/>
        <v>0</v>
      </c>
      <c r="J52" s="473"/>
      <c r="K52" s="485"/>
      <c r="L52" s="476">
        <f t="shared" si="1"/>
        <v>0</v>
      </c>
      <c r="M52" s="485"/>
      <c r="N52" s="476">
        <f t="shared" si="3"/>
        <v>0</v>
      </c>
      <c r="O52" s="476">
        <f t="shared" si="4"/>
        <v>0</v>
      </c>
      <c r="P52" s="241"/>
    </row>
    <row r="53" spans="2:16" ht="12.5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136721.54848169966</v>
      </c>
      <c r="E53" s="482">
        <f t="shared" si="13"/>
        <v>34496.990256410259</v>
      </c>
      <c r="F53" s="483">
        <f t="shared" si="14"/>
        <v>102224.55822528939</v>
      </c>
      <c r="G53" s="484">
        <f t="shared" si="15"/>
        <v>48757.168536446778</v>
      </c>
      <c r="H53" s="453">
        <f t="shared" si="16"/>
        <v>48757.168536446778</v>
      </c>
      <c r="I53" s="473">
        <f t="shared" si="5"/>
        <v>0</v>
      </c>
      <c r="J53" s="473"/>
      <c r="K53" s="485"/>
      <c r="L53" s="476">
        <f t="shared" si="1"/>
        <v>0</v>
      </c>
      <c r="M53" s="485"/>
      <c r="N53" s="476">
        <f t="shared" si="3"/>
        <v>0</v>
      </c>
      <c r="O53" s="476">
        <f t="shared" si="4"/>
        <v>0</v>
      </c>
      <c r="P53" s="241"/>
    </row>
    <row r="54" spans="2:16" ht="12.5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102224.55822528939</v>
      </c>
      <c r="E54" s="482">
        <f t="shared" si="13"/>
        <v>34496.990256410259</v>
      </c>
      <c r="F54" s="483">
        <f t="shared" si="14"/>
        <v>67727.567968879128</v>
      </c>
      <c r="G54" s="484">
        <f t="shared" si="15"/>
        <v>44639.643978623928</v>
      </c>
      <c r="H54" s="453">
        <f t="shared" si="16"/>
        <v>44639.643978623928</v>
      </c>
      <c r="I54" s="473">
        <f t="shared" si="5"/>
        <v>0</v>
      </c>
      <c r="J54" s="473"/>
      <c r="K54" s="485"/>
      <c r="L54" s="476">
        <f t="shared" si="1"/>
        <v>0</v>
      </c>
      <c r="M54" s="485"/>
      <c r="N54" s="476">
        <f t="shared" si="3"/>
        <v>0</v>
      </c>
      <c r="O54" s="476">
        <f t="shared" si="4"/>
        <v>0</v>
      </c>
      <c r="P54" s="241"/>
    </row>
    <row r="55" spans="2:16" ht="12.5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67727.567968879128</v>
      </c>
      <c r="E55" s="482">
        <f t="shared" si="13"/>
        <v>34496.990256410259</v>
      </c>
      <c r="F55" s="483">
        <f t="shared" si="14"/>
        <v>33230.577712468868</v>
      </c>
      <c r="G55" s="484">
        <f t="shared" si="15"/>
        <v>40522.119420801078</v>
      </c>
      <c r="H55" s="453">
        <f t="shared" si="16"/>
        <v>40522.119420801078</v>
      </c>
      <c r="I55" s="473">
        <f t="shared" si="5"/>
        <v>0</v>
      </c>
      <c r="J55" s="473"/>
      <c r="K55" s="485"/>
      <c r="L55" s="476">
        <f t="shared" si="1"/>
        <v>0</v>
      </c>
      <c r="M55" s="485"/>
      <c r="N55" s="476">
        <f t="shared" si="3"/>
        <v>0</v>
      </c>
      <c r="O55" s="476">
        <f t="shared" si="4"/>
        <v>0</v>
      </c>
      <c r="P55" s="241"/>
    </row>
    <row r="56" spans="2:16" ht="12.5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33230.577712468868</v>
      </c>
      <c r="E56" s="482">
        <f t="shared" si="13"/>
        <v>33230.577712468868</v>
      </c>
      <c r="F56" s="483">
        <f t="shared" si="14"/>
        <v>0</v>
      </c>
      <c r="G56" s="484">
        <f t="shared" si="15"/>
        <v>35213.761155208565</v>
      </c>
      <c r="H56" s="453">
        <f t="shared" si="16"/>
        <v>35213.761155208565</v>
      </c>
      <c r="I56" s="473">
        <f t="shared" si="5"/>
        <v>0</v>
      </c>
      <c r="J56" s="473"/>
      <c r="K56" s="485"/>
      <c r="L56" s="476">
        <f t="shared" si="1"/>
        <v>0</v>
      </c>
      <c r="M56" s="485"/>
      <c r="N56" s="476">
        <f t="shared" si="3"/>
        <v>0</v>
      </c>
      <c r="O56" s="476">
        <f t="shared" si="4"/>
        <v>0</v>
      </c>
      <c r="P56" s="241"/>
    </row>
    <row r="57" spans="2:16" ht="12.5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3"/>
        <v>0</v>
      </c>
      <c r="F57" s="483">
        <f t="shared" si="14"/>
        <v>0</v>
      </c>
      <c r="G57" s="484">
        <f t="shared" si="15"/>
        <v>0</v>
      </c>
      <c r="H57" s="453">
        <f t="shared" si="16"/>
        <v>0</v>
      </c>
      <c r="I57" s="473">
        <f t="shared" si="5"/>
        <v>0</v>
      </c>
      <c r="J57" s="473"/>
      <c r="K57" s="485"/>
      <c r="L57" s="476">
        <f t="shared" si="1"/>
        <v>0</v>
      </c>
      <c r="M57" s="485"/>
      <c r="N57" s="476">
        <f t="shared" si="3"/>
        <v>0</v>
      </c>
      <c r="O57" s="476">
        <f t="shared" si="4"/>
        <v>0</v>
      </c>
      <c r="P57" s="241"/>
    </row>
    <row r="58" spans="2:16" ht="12.5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3"/>
        <v>0</v>
      </c>
      <c r="F58" s="483">
        <f t="shared" si="14"/>
        <v>0</v>
      </c>
      <c r="G58" s="484">
        <f t="shared" si="15"/>
        <v>0</v>
      </c>
      <c r="H58" s="453">
        <f t="shared" si="16"/>
        <v>0</v>
      </c>
      <c r="I58" s="473">
        <f t="shared" si="5"/>
        <v>0</v>
      </c>
      <c r="J58" s="473"/>
      <c r="K58" s="485"/>
      <c r="L58" s="476">
        <f t="shared" si="1"/>
        <v>0</v>
      </c>
      <c r="M58" s="485"/>
      <c r="N58" s="476">
        <f t="shared" si="3"/>
        <v>0</v>
      </c>
      <c r="O58" s="476">
        <f t="shared" si="4"/>
        <v>0</v>
      </c>
      <c r="P58" s="241"/>
    </row>
    <row r="59" spans="2:16" ht="12.5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3"/>
        <v>0</v>
      </c>
      <c r="F59" s="483">
        <f t="shared" si="14"/>
        <v>0</v>
      </c>
      <c r="G59" s="484">
        <f t="shared" si="15"/>
        <v>0</v>
      </c>
      <c r="H59" s="453">
        <f t="shared" si="16"/>
        <v>0</v>
      </c>
      <c r="I59" s="473">
        <f t="shared" si="5"/>
        <v>0</v>
      </c>
      <c r="J59" s="473"/>
      <c r="K59" s="485"/>
      <c r="L59" s="476">
        <f t="shared" si="1"/>
        <v>0</v>
      </c>
      <c r="M59" s="485"/>
      <c r="N59" s="476">
        <f t="shared" si="3"/>
        <v>0</v>
      </c>
      <c r="O59" s="476">
        <f t="shared" si="4"/>
        <v>0</v>
      </c>
      <c r="P59" s="241"/>
    </row>
    <row r="60" spans="2:16" ht="12.5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3"/>
        <v>0</v>
      </c>
      <c r="F60" s="483">
        <f t="shared" si="14"/>
        <v>0</v>
      </c>
      <c r="G60" s="484">
        <f t="shared" si="15"/>
        <v>0</v>
      </c>
      <c r="H60" s="453">
        <f t="shared" si="16"/>
        <v>0</v>
      </c>
      <c r="I60" s="473">
        <f t="shared" si="5"/>
        <v>0</v>
      </c>
      <c r="J60" s="473"/>
      <c r="K60" s="485"/>
      <c r="L60" s="476">
        <f t="shared" si="1"/>
        <v>0</v>
      </c>
      <c r="M60" s="485"/>
      <c r="N60" s="476">
        <f t="shared" si="3"/>
        <v>0</v>
      </c>
      <c r="O60" s="476">
        <f t="shared" si="4"/>
        <v>0</v>
      </c>
      <c r="P60" s="241"/>
    </row>
    <row r="61" spans="2:16" ht="12.5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3"/>
        <v>0</v>
      </c>
      <c r="F61" s="483">
        <f t="shared" si="14"/>
        <v>0</v>
      </c>
      <c r="G61" s="484">
        <f t="shared" si="15"/>
        <v>0</v>
      </c>
      <c r="H61" s="453">
        <f t="shared" si="16"/>
        <v>0</v>
      </c>
      <c r="I61" s="473">
        <f t="shared" si="5"/>
        <v>0</v>
      </c>
      <c r="J61" s="473"/>
      <c r="K61" s="485"/>
      <c r="L61" s="476">
        <f t="shared" si="1"/>
        <v>0</v>
      </c>
      <c r="M61" s="485"/>
      <c r="N61" s="476">
        <f t="shared" si="3"/>
        <v>0</v>
      </c>
      <c r="O61" s="476">
        <f t="shared" si="4"/>
        <v>0</v>
      </c>
      <c r="P61" s="241"/>
    </row>
    <row r="62" spans="2:16" ht="12.5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3"/>
        <v>0</v>
      </c>
      <c r="F62" s="483">
        <f t="shared" si="14"/>
        <v>0</v>
      </c>
      <c r="G62" s="484">
        <f t="shared" si="15"/>
        <v>0</v>
      </c>
      <c r="H62" s="453">
        <f t="shared" si="16"/>
        <v>0</v>
      </c>
      <c r="I62" s="473">
        <f t="shared" si="5"/>
        <v>0</v>
      </c>
      <c r="J62" s="473"/>
      <c r="K62" s="485"/>
      <c r="L62" s="476">
        <f t="shared" si="1"/>
        <v>0</v>
      </c>
      <c r="M62" s="485"/>
      <c r="N62" s="476">
        <f t="shared" si="3"/>
        <v>0</v>
      </c>
      <c r="O62" s="476">
        <f t="shared" si="4"/>
        <v>0</v>
      </c>
      <c r="P62" s="241"/>
    </row>
    <row r="63" spans="2:16" ht="12.5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3"/>
        <v>0</v>
      </c>
      <c r="F63" s="483">
        <f t="shared" si="14"/>
        <v>0</v>
      </c>
      <c r="G63" s="484">
        <f t="shared" si="15"/>
        <v>0</v>
      </c>
      <c r="H63" s="453">
        <f t="shared" si="16"/>
        <v>0</v>
      </c>
      <c r="I63" s="473">
        <f t="shared" si="5"/>
        <v>0</v>
      </c>
      <c r="J63" s="473"/>
      <c r="K63" s="485"/>
      <c r="L63" s="476">
        <f t="shared" si="1"/>
        <v>0</v>
      </c>
      <c r="M63" s="485"/>
      <c r="N63" s="476">
        <f t="shared" si="3"/>
        <v>0</v>
      </c>
      <c r="O63" s="476">
        <f t="shared" si="4"/>
        <v>0</v>
      </c>
      <c r="P63" s="241"/>
    </row>
    <row r="64" spans="2:16" ht="12.5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3"/>
        <v>0</v>
      </c>
      <c r="F64" s="483">
        <f t="shared" si="14"/>
        <v>0</v>
      </c>
      <c r="G64" s="484">
        <f t="shared" si="15"/>
        <v>0</v>
      </c>
      <c r="H64" s="453">
        <f t="shared" si="16"/>
        <v>0</v>
      </c>
      <c r="I64" s="473">
        <f t="shared" si="5"/>
        <v>0</v>
      </c>
      <c r="J64" s="473"/>
      <c r="K64" s="485"/>
      <c r="L64" s="476">
        <f t="shared" si="1"/>
        <v>0</v>
      </c>
      <c r="M64" s="485"/>
      <c r="N64" s="476">
        <f t="shared" si="3"/>
        <v>0</v>
      </c>
      <c r="O64" s="476">
        <f t="shared" si="4"/>
        <v>0</v>
      </c>
      <c r="P64" s="241"/>
    </row>
    <row r="65" spans="2:16" ht="12.5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3"/>
        <v>0</v>
      </c>
      <c r="F65" s="483">
        <f t="shared" si="14"/>
        <v>0</v>
      </c>
      <c r="G65" s="484">
        <f t="shared" si="15"/>
        <v>0</v>
      </c>
      <c r="H65" s="453">
        <f t="shared" si="16"/>
        <v>0</v>
      </c>
      <c r="I65" s="473">
        <f t="shared" si="5"/>
        <v>0</v>
      </c>
      <c r="J65" s="473"/>
      <c r="K65" s="485"/>
      <c r="L65" s="476">
        <f t="shared" si="1"/>
        <v>0</v>
      </c>
      <c r="M65" s="485"/>
      <c r="N65" s="476">
        <f t="shared" si="3"/>
        <v>0</v>
      </c>
      <c r="O65" s="476">
        <f t="shared" si="4"/>
        <v>0</v>
      </c>
      <c r="P65" s="241"/>
    </row>
    <row r="66" spans="2:16" ht="12.5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3"/>
        <v>0</v>
      </c>
      <c r="F66" s="483">
        <f t="shared" si="14"/>
        <v>0</v>
      </c>
      <c r="G66" s="484">
        <f t="shared" si="15"/>
        <v>0</v>
      </c>
      <c r="H66" s="453">
        <f t="shared" si="16"/>
        <v>0</v>
      </c>
      <c r="I66" s="473">
        <f t="shared" si="5"/>
        <v>0</v>
      </c>
      <c r="J66" s="473"/>
      <c r="K66" s="485"/>
      <c r="L66" s="476">
        <f t="shared" si="1"/>
        <v>0</v>
      </c>
      <c r="M66" s="485"/>
      <c r="N66" s="476">
        <f t="shared" si="3"/>
        <v>0</v>
      </c>
      <c r="O66" s="476">
        <f t="shared" si="4"/>
        <v>0</v>
      </c>
      <c r="P66" s="241"/>
    </row>
    <row r="67" spans="2:16" ht="12.5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3"/>
        <v>0</v>
      </c>
      <c r="F67" s="483">
        <f t="shared" si="14"/>
        <v>0</v>
      </c>
      <c r="G67" s="484">
        <f t="shared" si="15"/>
        <v>0</v>
      </c>
      <c r="H67" s="453">
        <f t="shared" si="16"/>
        <v>0</v>
      </c>
      <c r="I67" s="473">
        <f t="shared" si="5"/>
        <v>0</v>
      </c>
      <c r="J67" s="473"/>
      <c r="K67" s="485"/>
      <c r="L67" s="476">
        <f t="shared" si="1"/>
        <v>0</v>
      </c>
      <c r="M67" s="485"/>
      <c r="N67" s="476">
        <f t="shared" si="3"/>
        <v>0</v>
      </c>
      <c r="O67" s="476">
        <f t="shared" si="4"/>
        <v>0</v>
      </c>
      <c r="P67" s="241"/>
    </row>
    <row r="68" spans="2:16" ht="12.5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3"/>
        <v>0</v>
      </c>
      <c r="F68" s="483">
        <f t="shared" si="14"/>
        <v>0</v>
      </c>
      <c r="G68" s="484">
        <f t="shared" si="15"/>
        <v>0</v>
      </c>
      <c r="H68" s="453">
        <f t="shared" si="16"/>
        <v>0</v>
      </c>
      <c r="I68" s="473">
        <f t="shared" si="5"/>
        <v>0</v>
      </c>
      <c r="J68" s="473"/>
      <c r="K68" s="485"/>
      <c r="L68" s="476">
        <f t="shared" si="1"/>
        <v>0</v>
      </c>
      <c r="M68" s="485"/>
      <c r="N68" s="476">
        <f t="shared" si="3"/>
        <v>0</v>
      </c>
      <c r="O68" s="476">
        <f t="shared" si="4"/>
        <v>0</v>
      </c>
      <c r="P68" s="241"/>
    </row>
    <row r="69" spans="2:16" ht="12.5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3"/>
        <v>0</v>
      </c>
      <c r="F69" s="483">
        <f t="shared" si="14"/>
        <v>0</v>
      </c>
      <c r="G69" s="484">
        <f t="shared" si="15"/>
        <v>0</v>
      </c>
      <c r="H69" s="453">
        <f t="shared" si="16"/>
        <v>0</v>
      </c>
      <c r="I69" s="473">
        <f t="shared" si="5"/>
        <v>0</v>
      </c>
      <c r="J69" s="473"/>
      <c r="K69" s="485"/>
      <c r="L69" s="476">
        <f t="shared" si="1"/>
        <v>0</v>
      </c>
      <c r="M69" s="485"/>
      <c r="N69" s="476">
        <f t="shared" si="3"/>
        <v>0</v>
      </c>
      <c r="O69" s="476">
        <f t="shared" si="4"/>
        <v>0</v>
      </c>
      <c r="P69" s="241"/>
    </row>
    <row r="70" spans="2:16" ht="12.5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3"/>
        <v>0</v>
      </c>
      <c r="F70" s="483">
        <f t="shared" si="14"/>
        <v>0</v>
      </c>
      <c r="G70" s="484">
        <f t="shared" si="15"/>
        <v>0</v>
      </c>
      <c r="H70" s="453">
        <f t="shared" si="16"/>
        <v>0</v>
      </c>
      <c r="I70" s="473">
        <f t="shared" si="5"/>
        <v>0</v>
      </c>
      <c r="J70" s="473"/>
      <c r="K70" s="485"/>
      <c r="L70" s="476">
        <f t="shared" si="1"/>
        <v>0</v>
      </c>
      <c r="M70" s="485"/>
      <c r="N70" s="476">
        <f t="shared" si="3"/>
        <v>0</v>
      </c>
      <c r="O70" s="476">
        <f t="shared" si="4"/>
        <v>0</v>
      </c>
      <c r="P70" s="241"/>
    </row>
    <row r="71" spans="2:16" ht="12.5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3"/>
        <v>0</v>
      </c>
      <c r="F71" s="483">
        <f t="shared" si="14"/>
        <v>0</v>
      </c>
      <c r="G71" s="484">
        <f t="shared" si="15"/>
        <v>0</v>
      </c>
      <c r="H71" s="453">
        <f t="shared" si="16"/>
        <v>0</v>
      </c>
      <c r="I71" s="473">
        <f t="shared" si="5"/>
        <v>0</v>
      </c>
      <c r="J71" s="473"/>
      <c r="K71" s="485"/>
      <c r="L71" s="476">
        <f t="shared" si="1"/>
        <v>0</v>
      </c>
      <c r="M71" s="485"/>
      <c r="N71" s="476">
        <f t="shared" si="3"/>
        <v>0</v>
      </c>
      <c r="O71" s="476">
        <f t="shared" si="4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2073</v>
      </c>
      <c r="D72" s="609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"/>
        <v>0</v>
      </c>
      <c r="M72" s="492"/>
      <c r="N72" s="493">
        <f t="shared" si="3"/>
        <v>0</v>
      </c>
      <c r="O72" s="493">
        <f t="shared" si="4"/>
        <v>0</v>
      </c>
      <c r="P72" s="241"/>
    </row>
    <row r="73" spans="2:16" ht="12.5">
      <c r="C73" s="345" t="s">
        <v>77</v>
      </c>
      <c r="D73" s="346"/>
      <c r="E73" s="346">
        <f>SUM(E17:E72)</f>
        <v>1345382.6200000003</v>
      </c>
      <c r="F73" s="346"/>
      <c r="G73" s="346">
        <f>SUM(G17:G72)</f>
        <v>4472825.6763458662</v>
      </c>
      <c r="H73" s="346">
        <f>SUM(H17:H72)</f>
        <v>4472825.6763458662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24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176400.42982895498</v>
      </c>
      <c r="N87" s="506">
        <f>IF(J92&lt;D11,0,VLOOKUP(J92,C17:O72,11))</f>
        <v>176400.42982895498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170200.81797934725</v>
      </c>
      <c r="N88" s="510">
        <f>IF(J92&lt;D11,0,VLOOKUP(J92,C99:P154,7))</f>
        <v>170200.81797934725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Duncan-Comanche Tap 69 KV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-6199.6118496077252</v>
      </c>
      <c r="N89" s="515">
        <f>+N88-N87</f>
        <v>-6199.6118496077252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TP2015191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1345382.62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5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35405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2018</v>
      </c>
      <c r="D99" s="582">
        <v>0</v>
      </c>
      <c r="E99" s="605">
        <v>15290</v>
      </c>
      <c r="F99" s="582">
        <v>1299649</v>
      </c>
      <c r="G99" s="605">
        <v>649824.5</v>
      </c>
      <c r="H99" s="585">
        <v>82050.088345518569</v>
      </c>
      <c r="I99" s="604">
        <v>82050.088345518569</v>
      </c>
      <c r="J99" s="476">
        <f>+I99-H99</f>
        <v>0</v>
      </c>
      <c r="K99" s="476"/>
      <c r="L99" s="475">
        <f>+H99</f>
        <v>82050.088345518569</v>
      </c>
      <c r="M99" s="475">
        <f t="shared" ref="M99" si="17">IF(L99&lt;&gt;0,+H99-L99,0)</f>
        <v>0</v>
      </c>
      <c r="N99" s="475">
        <f>+I99</f>
        <v>82050.088345518569</v>
      </c>
      <c r="O99" s="475">
        <f t="shared" ref="O99" si="18">IF(N99&lt;&gt;0,+I99-N99,0)</f>
        <v>0</v>
      </c>
      <c r="P99" s="475">
        <f t="shared" ref="P99" si="19">+O99-M99</f>
        <v>0</v>
      </c>
    </row>
    <row r="100" spans="1:16" ht="12.5">
      <c r="B100" s="160" t="str">
        <f>IF(D100=F99,"","IU")</f>
        <v>IU</v>
      </c>
      <c r="C100" s="470">
        <f>IF(D93="","-",+C99+1)</f>
        <v>2019</v>
      </c>
      <c r="D100" s="582">
        <v>1330093</v>
      </c>
      <c r="E100" s="583">
        <v>32814</v>
      </c>
      <c r="F100" s="584">
        <v>1297279</v>
      </c>
      <c r="G100" s="584">
        <v>1313686</v>
      </c>
      <c r="H100" s="603">
        <v>168273.45246575892</v>
      </c>
      <c r="I100" s="604">
        <v>168273.45246575892</v>
      </c>
      <c r="J100" s="476">
        <f t="shared" ref="J100:J130" si="20">+I100-H100</f>
        <v>0</v>
      </c>
      <c r="K100" s="476"/>
      <c r="L100" s="474">
        <f>H100</f>
        <v>168273.45246575892</v>
      </c>
      <c r="M100" s="347">
        <f>IF(L100&lt;&gt;0,+H100-L100,0)</f>
        <v>0</v>
      </c>
      <c r="N100" s="474">
        <f>I100</f>
        <v>168273.45246575892</v>
      </c>
      <c r="O100" s="476">
        <f t="shared" ref="O100:O130" si="21">IF(N100&lt;&gt;0,+I100-N100,0)</f>
        <v>0</v>
      </c>
      <c r="P100" s="476">
        <f t="shared" ref="P100:P130" si="22">+O100-M100</f>
        <v>0</v>
      </c>
    </row>
    <row r="101" spans="1:16" ht="12.5">
      <c r="B101" s="160" t="str">
        <f t="shared" ref="B101:B154" si="23">IF(D101=F100,"","IU")</f>
        <v/>
      </c>
      <c r="C101" s="470">
        <f>IF(D93="","-",+C100+1)</f>
        <v>2020</v>
      </c>
      <c r="D101" s="582">
        <v>1297279</v>
      </c>
      <c r="E101" s="583">
        <v>31288</v>
      </c>
      <c r="F101" s="584">
        <v>1265991</v>
      </c>
      <c r="G101" s="584">
        <v>1281635</v>
      </c>
      <c r="H101" s="603">
        <v>179056.99193510308</v>
      </c>
      <c r="I101" s="604">
        <v>179056.99193510308</v>
      </c>
      <c r="J101" s="476">
        <f t="shared" si="20"/>
        <v>0</v>
      </c>
      <c r="K101" s="476"/>
      <c r="L101" s="474">
        <f>H101</f>
        <v>179056.99193510308</v>
      </c>
      <c r="M101" s="347">
        <f>IF(L101&lt;&gt;0,+H101-L101,0)</f>
        <v>0</v>
      </c>
      <c r="N101" s="474">
        <f>I101</f>
        <v>179056.99193510308</v>
      </c>
      <c r="O101" s="476">
        <f t="shared" si="21"/>
        <v>0</v>
      </c>
      <c r="P101" s="476">
        <f t="shared" si="22"/>
        <v>0</v>
      </c>
    </row>
    <row r="102" spans="1:16" ht="12.5">
      <c r="B102" s="160" t="str">
        <f t="shared" si="23"/>
        <v/>
      </c>
      <c r="C102" s="470">
        <f>IF(D93="","-",+C101+1)</f>
        <v>2021</v>
      </c>
      <c r="D102" s="582">
        <v>1265991</v>
      </c>
      <c r="E102" s="583">
        <v>32814</v>
      </c>
      <c r="F102" s="584">
        <v>1233177</v>
      </c>
      <c r="G102" s="584">
        <v>1249584</v>
      </c>
      <c r="H102" s="603">
        <v>175007.65348742867</v>
      </c>
      <c r="I102" s="604">
        <v>175007.65348742867</v>
      </c>
      <c r="J102" s="476">
        <f t="shared" si="20"/>
        <v>0</v>
      </c>
      <c r="K102" s="476"/>
      <c r="L102" s="474">
        <f>H102</f>
        <v>175007.65348742867</v>
      </c>
      <c r="M102" s="347">
        <f>IF(L102&lt;&gt;0,+H102-L102,0)</f>
        <v>0</v>
      </c>
      <c r="N102" s="474">
        <f>I102</f>
        <v>175007.65348742867</v>
      </c>
      <c r="O102" s="476">
        <f t="shared" si="21"/>
        <v>0</v>
      </c>
      <c r="P102" s="476">
        <f t="shared" si="22"/>
        <v>0</v>
      </c>
    </row>
    <row r="103" spans="1:16" ht="12.5">
      <c r="B103" s="160" t="str">
        <f t="shared" si="23"/>
        <v>IU</v>
      </c>
      <c r="C103" s="470">
        <f>IF(D93="","-",+C102+1)</f>
        <v>2022</v>
      </c>
      <c r="D103" s="345">
        <f>IF(F102+SUM(E$99:E102)=D$92,F102,D$92-SUM(E$99:E102))</f>
        <v>1233176.6200000001</v>
      </c>
      <c r="E103" s="482">
        <f t="shared" ref="E103:E154" si="24">IF(+J$96&lt;F102,J$96,D103)</f>
        <v>35405</v>
      </c>
      <c r="F103" s="483">
        <f t="shared" ref="F103:F154" si="25">+D103-E103</f>
        <v>1197771.6200000001</v>
      </c>
      <c r="G103" s="483">
        <f t="shared" ref="G103:G154" si="26">+(F103+D103)/2</f>
        <v>1215474.1200000001</v>
      </c>
      <c r="H103" s="484">
        <f t="shared" ref="H103:H153" si="27">(D103+F103)/2*J$94+E103</f>
        <v>174245.02679277575</v>
      </c>
      <c r="I103" s="540">
        <f t="shared" ref="I103:I153" si="28">+J$95*G103+E103</f>
        <v>174245.02679277575</v>
      </c>
      <c r="J103" s="476">
        <f t="shared" si="20"/>
        <v>0</v>
      </c>
      <c r="K103" s="476"/>
      <c r="L103" s="485"/>
      <c r="M103" s="476">
        <f t="shared" ref="M103:M130" si="29">IF(L103&lt;&gt;0,+H103-L103,0)</f>
        <v>0</v>
      </c>
      <c r="N103" s="485"/>
      <c r="O103" s="476">
        <f t="shared" si="21"/>
        <v>0</v>
      </c>
      <c r="P103" s="476">
        <f t="shared" si="22"/>
        <v>0</v>
      </c>
    </row>
    <row r="104" spans="1:16" ht="12.5">
      <c r="B104" s="160" t="str">
        <f t="shared" si="23"/>
        <v/>
      </c>
      <c r="C104" s="470">
        <f>IF(D93="","-",+C103+1)</f>
        <v>2023</v>
      </c>
      <c r="D104" s="345">
        <f>IF(F103+SUM(E$99:E103)=D$92,F103,D$92-SUM(E$99:E103))</f>
        <v>1197771.6200000001</v>
      </c>
      <c r="E104" s="482">
        <f t="shared" si="24"/>
        <v>35405</v>
      </c>
      <c r="F104" s="483">
        <f t="shared" si="25"/>
        <v>1162366.6200000001</v>
      </c>
      <c r="G104" s="483">
        <f t="shared" si="26"/>
        <v>1180069.1200000001</v>
      </c>
      <c r="H104" s="484">
        <f t="shared" si="27"/>
        <v>170200.81797934725</v>
      </c>
      <c r="I104" s="540">
        <f t="shared" si="28"/>
        <v>170200.81797934725</v>
      </c>
      <c r="J104" s="476">
        <f t="shared" si="20"/>
        <v>0</v>
      </c>
      <c r="K104" s="476"/>
      <c r="L104" s="485"/>
      <c r="M104" s="476">
        <f t="shared" si="29"/>
        <v>0</v>
      </c>
      <c r="N104" s="485"/>
      <c r="O104" s="476">
        <f t="shared" si="21"/>
        <v>0</v>
      </c>
      <c r="P104" s="476">
        <f t="shared" si="22"/>
        <v>0</v>
      </c>
    </row>
    <row r="105" spans="1:16" ht="12.5">
      <c r="B105" s="160" t="str">
        <f t="shared" si="23"/>
        <v/>
      </c>
      <c r="C105" s="470">
        <f>IF(D93="","-",+C104+1)</f>
        <v>2024</v>
      </c>
      <c r="D105" s="345">
        <f>IF(F104+SUM(E$99:E104)=D$92,F104,D$92-SUM(E$99:E104))</f>
        <v>1162366.6200000001</v>
      </c>
      <c r="E105" s="482">
        <f t="shared" si="24"/>
        <v>35405</v>
      </c>
      <c r="F105" s="483">
        <f t="shared" si="25"/>
        <v>1126961.6200000001</v>
      </c>
      <c r="G105" s="483">
        <f t="shared" si="26"/>
        <v>1144664.1200000001</v>
      </c>
      <c r="H105" s="484">
        <f t="shared" si="27"/>
        <v>166156.60916591878</v>
      </c>
      <c r="I105" s="540">
        <f t="shared" si="28"/>
        <v>166156.60916591878</v>
      </c>
      <c r="J105" s="476">
        <f t="shared" si="20"/>
        <v>0</v>
      </c>
      <c r="K105" s="476"/>
      <c r="L105" s="485"/>
      <c r="M105" s="476">
        <f t="shared" si="29"/>
        <v>0</v>
      </c>
      <c r="N105" s="485"/>
      <c r="O105" s="476">
        <f t="shared" si="21"/>
        <v>0</v>
      </c>
      <c r="P105" s="476">
        <f t="shared" si="22"/>
        <v>0</v>
      </c>
    </row>
    <row r="106" spans="1:16" ht="12.5">
      <c r="B106" s="160" t="str">
        <f t="shared" si="23"/>
        <v/>
      </c>
      <c r="C106" s="470">
        <f>IF(D93="","-",+C105+1)</f>
        <v>2025</v>
      </c>
      <c r="D106" s="345">
        <f>IF(F105+SUM(E$99:E105)=D$92,F105,D$92-SUM(E$99:E105))</f>
        <v>1126961.6200000001</v>
      </c>
      <c r="E106" s="482">
        <f t="shared" si="24"/>
        <v>35405</v>
      </c>
      <c r="F106" s="483">
        <f t="shared" si="25"/>
        <v>1091556.6200000001</v>
      </c>
      <c r="G106" s="483">
        <f t="shared" si="26"/>
        <v>1109259.1200000001</v>
      </c>
      <c r="H106" s="484">
        <f t="shared" si="27"/>
        <v>162112.40035249031</v>
      </c>
      <c r="I106" s="540">
        <f t="shared" si="28"/>
        <v>162112.40035249031</v>
      </c>
      <c r="J106" s="476">
        <f t="shared" si="20"/>
        <v>0</v>
      </c>
      <c r="K106" s="476"/>
      <c r="L106" s="485"/>
      <c r="M106" s="476">
        <f t="shared" si="29"/>
        <v>0</v>
      </c>
      <c r="N106" s="485"/>
      <c r="O106" s="476">
        <f t="shared" si="21"/>
        <v>0</v>
      </c>
      <c r="P106" s="476">
        <f t="shared" si="22"/>
        <v>0</v>
      </c>
    </row>
    <row r="107" spans="1:16" ht="12.5">
      <c r="B107" s="160" t="str">
        <f t="shared" si="23"/>
        <v/>
      </c>
      <c r="C107" s="470">
        <f>IF(D93="","-",+C106+1)</f>
        <v>2026</v>
      </c>
      <c r="D107" s="345">
        <f>IF(F106+SUM(E$99:E106)=D$92,F106,D$92-SUM(E$99:E106))</f>
        <v>1091556.6200000001</v>
      </c>
      <c r="E107" s="482">
        <f t="shared" si="24"/>
        <v>35405</v>
      </c>
      <c r="F107" s="483">
        <f t="shared" si="25"/>
        <v>1056151.6200000001</v>
      </c>
      <c r="G107" s="483">
        <f t="shared" si="26"/>
        <v>1073854.1200000001</v>
      </c>
      <c r="H107" s="484">
        <f t="shared" si="27"/>
        <v>158068.19153906184</v>
      </c>
      <c r="I107" s="540">
        <f t="shared" si="28"/>
        <v>158068.19153906184</v>
      </c>
      <c r="J107" s="476">
        <f t="shared" si="20"/>
        <v>0</v>
      </c>
      <c r="K107" s="476"/>
      <c r="L107" s="485"/>
      <c r="M107" s="476">
        <f t="shared" si="29"/>
        <v>0</v>
      </c>
      <c r="N107" s="485"/>
      <c r="O107" s="476">
        <f t="shared" si="21"/>
        <v>0</v>
      </c>
      <c r="P107" s="476">
        <f t="shared" si="22"/>
        <v>0</v>
      </c>
    </row>
    <row r="108" spans="1:16" ht="12.5">
      <c r="B108" s="160" t="str">
        <f t="shared" si="23"/>
        <v/>
      </c>
      <c r="C108" s="470">
        <f>IF(D93="","-",+C107+1)</f>
        <v>2027</v>
      </c>
      <c r="D108" s="345">
        <f>IF(F107+SUM(E$99:E107)=D$92,F107,D$92-SUM(E$99:E107))</f>
        <v>1056151.6200000001</v>
      </c>
      <c r="E108" s="482">
        <f t="shared" si="24"/>
        <v>35405</v>
      </c>
      <c r="F108" s="483">
        <f t="shared" si="25"/>
        <v>1020746.6200000001</v>
      </c>
      <c r="G108" s="483">
        <f t="shared" si="26"/>
        <v>1038449.1200000001</v>
      </c>
      <c r="H108" s="484">
        <f t="shared" si="27"/>
        <v>154023.98272563337</v>
      </c>
      <c r="I108" s="540">
        <f t="shared" si="28"/>
        <v>154023.98272563337</v>
      </c>
      <c r="J108" s="476">
        <f t="shared" si="20"/>
        <v>0</v>
      </c>
      <c r="K108" s="476"/>
      <c r="L108" s="485"/>
      <c r="M108" s="476">
        <f t="shared" si="29"/>
        <v>0</v>
      </c>
      <c r="N108" s="485"/>
      <c r="O108" s="476">
        <f t="shared" si="21"/>
        <v>0</v>
      </c>
      <c r="P108" s="476">
        <f t="shared" si="22"/>
        <v>0</v>
      </c>
    </row>
    <row r="109" spans="1:16" ht="12.5">
      <c r="B109" s="160" t="str">
        <f t="shared" si="23"/>
        <v/>
      </c>
      <c r="C109" s="470">
        <f>IF(D93="","-",+C108+1)</f>
        <v>2028</v>
      </c>
      <c r="D109" s="345">
        <f>IF(F108+SUM(E$99:E108)=D$92,F108,D$92-SUM(E$99:E108))</f>
        <v>1020746.6200000001</v>
      </c>
      <c r="E109" s="482">
        <f t="shared" si="24"/>
        <v>35405</v>
      </c>
      <c r="F109" s="483">
        <f t="shared" si="25"/>
        <v>985341.62000000011</v>
      </c>
      <c r="G109" s="483">
        <f t="shared" si="26"/>
        <v>1003044.1200000001</v>
      </c>
      <c r="H109" s="484">
        <f t="shared" si="27"/>
        <v>149979.77391220487</v>
      </c>
      <c r="I109" s="540">
        <f t="shared" si="28"/>
        <v>149979.77391220487</v>
      </c>
      <c r="J109" s="476">
        <f t="shared" si="20"/>
        <v>0</v>
      </c>
      <c r="K109" s="476"/>
      <c r="L109" s="485"/>
      <c r="M109" s="476">
        <f t="shared" si="29"/>
        <v>0</v>
      </c>
      <c r="N109" s="485"/>
      <c r="O109" s="476">
        <f t="shared" si="21"/>
        <v>0</v>
      </c>
      <c r="P109" s="476">
        <f t="shared" si="22"/>
        <v>0</v>
      </c>
    </row>
    <row r="110" spans="1:16" ht="12.5">
      <c r="B110" s="160" t="str">
        <f t="shared" si="23"/>
        <v/>
      </c>
      <c r="C110" s="470">
        <f>IF(D93="","-",+C109+1)</f>
        <v>2029</v>
      </c>
      <c r="D110" s="345">
        <f>IF(F109+SUM(E$99:E109)=D$92,F109,D$92-SUM(E$99:E109))</f>
        <v>985341.62000000011</v>
      </c>
      <c r="E110" s="482">
        <f t="shared" si="24"/>
        <v>35405</v>
      </c>
      <c r="F110" s="483">
        <f t="shared" si="25"/>
        <v>949936.62000000011</v>
      </c>
      <c r="G110" s="483">
        <f t="shared" si="26"/>
        <v>967639.12000000011</v>
      </c>
      <c r="H110" s="484">
        <f t="shared" si="27"/>
        <v>145935.56509877639</v>
      </c>
      <c r="I110" s="540">
        <f t="shared" si="28"/>
        <v>145935.56509877639</v>
      </c>
      <c r="J110" s="476">
        <f t="shared" si="20"/>
        <v>0</v>
      </c>
      <c r="K110" s="476"/>
      <c r="L110" s="485"/>
      <c r="M110" s="476">
        <f t="shared" si="29"/>
        <v>0</v>
      </c>
      <c r="N110" s="485"/>
      <c r="O110" s="476">
        <f t="shared" si="21"/>
        <v>0</v>
      </c>
      <c r="P110" s="476">
        <f t="shared" si="22"/>
        <v>0</v>
      </c>
    </row>
    <row r="111" spans="1:16" ht="12.5">
      <c r="B111" s="160" t="str">
        <f t="shared" si="23"/>
        <v/>
      </c>
      <c r="C111" s="470">
        <f>IF(D93="","-",+C110+1)</f>
        <v>2030</v>
      </c>
      <c r="D111" s="345">
        <f>IF(F110+SUM(E$99:E110)=D$92,F110,D$92-SUM(E$99:E110))</f>
        <v>949936.62000000011</v>
      </c>
      <c r="E111" s="482">
        <f t="shared" si="24"/>
        <v>35405</v>
      </c>
      <c r="F111" s="483">
        <f t="shared" si="25"/>
        <v>914531.62000000011</v>
      </c>
      <c r="G111" s="483">
        <f t="shared" si="26"/>
        <v>932234.12000000011</v>
      </c>
      <c r="H111" s="484">
        <f t="shared" si="27"/>
        <v>141891.35628534789</v>
      </c>
      <c r="I111" s="540">
        <f t="shared" si="28"/>
        <v>141891.35628534789</v>
      </c>
      <c r="J111" s="476">
        <f t="shared" si="20"/>
        <v>0</v>
      </c>
      <c r="K111" s="476"/>
      <c r="L111" s="485"/>
      <c r="M111" s="476">
        <f t="shared" si="29"/>
        <v>0</v>
      </c>
      <c r="N111" s="485"/>
      <c r="O111" s="476">
        <f t="shared" si="21"/>
        <v>0</v>
      </c>
      <c r="P111" s="476">
        <f t="shared" si="22"/>
        <v>0</v>
      </c>
    </row>
    <row r="112" spans="1:16" ht="12.5">
      <c r="B112" s="160" t="str">
        <f t="shared" si="23"/>
        <v/>
      </c>
      <c r="C112" s="470">
        <f>IF(D93="","-",+C111+1)</f>
        <v>2031</v>
      </c>
      <c r="D112" s="345">
        <f>IF(F111+SUM(E$99:E111)=D$92,F111,D$92-SUM(E$99:E111))</f>
        <v>914531.62000000011</v>
      </c>
      <c r="E112" s="482">
        <f t="shared" si="24"/>
        <v>35405</v>
      </c>
      <c r="F112" s="483">
        <f t="shared" si="25"/>
        <v>879126.62000000011</v>
      </c>
      <c r="G112" s="483">
        <f t="shared" si="26"/>
        <v>896829.12000000011</v>
      </c>
      <c r="H112" s="484">
        <f t="shared" si="27"/>
        <v>137847.14747191942</v>
      </c>
      <c r="I112" s="540">
        <f t="shared" si="28"/>
        <v>137847.14747191942</v>
      </c>
      <c r="J112" s="476">
        <f t="shared" si="20"/>
        <v>0</v>
      </c>
      <c r="K112" s="476"/>
      <c r="L112" s="485"/>
      <c r="M112" s="476">
        <f t="shared" si="29"/>
        <v>0</v>
      </c>
      <c r="N112" s="485"/>
      <c r="O112" s="476">
        <f t="shared" si="21"/>
        <v>0</v>
      </c>
      <c r="P112" s="476">
        <f t="shared" si="22"/>
        <v>0</v>
      </c>
    </row>
    <row r="113" spans="2:16" ht="12.5">
      <c r="B113" s="160" t="str">
        <f t="shared" si="23"/>
        <v/>
      </c>
      <c r="C113" s="470">
        <f>IF(D93="","-",+C112+1)</f>
        <v>2032</v>
      </c>
      <c r="D113" s="345">
        <f>IF(F112+SUM(E$99:E112)=D$92,F112,D$92-SUM(E$99:E112))</f>
        <v>879126.62000000011</v>
      </c>
      <c r="E113" s="482">
        <f t="shared" si="24"/>
        <v>35405</v>
      </c>
      <c r="F113" s="483">
        <f t="shared" si="25"/>
        <v>843721.62000000011</v>
      </c>
      <c r="G113" s="483">
        <f t="shared" si="26"/>
        <v>861424.12000000011</v>
      </c>
      <c r="H113" s="484">
        <f t="shared" si="27"/>
        <v>133802.93865849095</v>
      </c>
      <c r="I113" s="540">
        <f t="shared" si="28"/>
        <v>133802.93865849095</v>
      </c>
      <c r="J113" s="476">
        <f t="shared" si="20"/>
        <v>0</v>
      </c>
      <c r="K113" s="476"/>
      <c r="L113" s="485"/>
      <c r="M113" s="476">
        <f t="shared" si="29"/>
        <v>0</v>
      </c>
      <c r="N113" s="485"/>
      <c r="O113" s="476">
        <f t="shared" si="21"/>
        <v>0</v>
      </c>
      <c r="P113" s="476">
        <f t="shared" si="22"/>
        <v>0</v>
      </c>
    </row>
    <row r="114" spans="2:16" ht="12.5">
      <c r="B114" s="160" t="str">
        <f t="shared" si="23"/>
        <v/>
      </c>
      <c r="C114" s="470">
        <f>IF(D93="","-",+C113+1)</f>
        <v>2033</v>
      </c>
      <c r="D114" s="345">
        <f>IF(F113+SUM(E$99:E113)=D$92,F113,D$92-SUM(E$99:E113))</f>
        <v>843721.62000000011</v>
      </c>
      <c r="E114" s="482">
        <f t="shared" si="24"/>
        <v>35405</v>
      </c>
      <c r="F114" s="483">
        <f t="shared" si="25"/>
        <v>808316.62000000011</v>
      </c>
      <c r="G114" s="483">
        <f t="shared" si="26"/>
        <v>826019.12000000011</v>
      </c>
      <c r="H114" s="484">
        <f t="shared" si="27"/>
        <v>129758.72984506247</v>
      </c>
      <c r="I114" s="540">
        <f t="shared" si="28"/>
        <v>129758.72984506247</v>
      </c>
      <c r="J114" s="476">
        <f t="shared" si="20"/>
        <v>0</v>
      </c>
      <c r="K114" s="476"/>
      <c r="L114" s="485"/>
      <c r="M114" s="476">
        <f t="shared" si="29"/>
        <v>0</v>
      </c>
      <c r="N114" s="485"/>
      <c r="O114" s="476">
        <f t="shared" si="21"/>
        <v>0</v>
      </c>
      <c r="P114" s="476">
        <f t="shared" si="22"/>
        <v>0</v>
      </c>
    </row>
    <row r="115" spans="2:16" ht="12.5">
      <c r="B115" s="160" t="str">
        <f t="shared" si="23"/>
        <v/>
      </c>
      <c r="C115" s="470">
        <f>IF(D93="","-",+C114+1)</f>
        <v>2034</v>
      </c>
      <c r="D115" s="345">
        <f>IF(F114+SUM(E$99:E114)=D$92,F114,D$92-SUM(E$99:E114))</f>
        <v>808316.62000000011</v>
      </c>
      <c r="E115" s="482">
        <f t="shared" si="24"/>
        <v>35405</v>
      </c>
      <c r="F115" s="483">
        <f t="shared" si="25"/>
        <v>772911.62000000011</v>
      </c>
      <c r="G115" s="483">
        <f t="shared" si="26"/>
        <v>790614.12000000011</v>
      </c>
      <c r="H115" s="484">
        <f t="shared" si="27"/>
        <v>125714.52103163399</v>
      </c>
      <c r="I115" s="540">
        <f t="shared" si="28"/>
        <v>125714.52103163399</v>
      </c>
      <c r="J115" s="476">
        <f t="shared" si="20"/>
        <v>0</v>
      </c>
      <c r="K115" s="476"/>
      <c r="L115" s="485"/>
      <c r="M115" s="476">
        <f t="shared" si="29"/>
        <v>0</v>
      </c>
      <c r="N115" s="485"/>
      <c r="O115" s="476">
        <f t="shared" si="21"/>
        <v>0</v>
      </c>
      <c r="P115" s="476">
        <f t="shared" si="22"/>
        <v>0</v>
      </c>
    </row>
    <row r="116" spans="2:16" ht="12.5">
      <c r="B116" s="160" t="str">
        <f t="shared" si="23"/>
        <v/>
      </c>
      <c r="C116" s="470">
        <f>IF(D93="","-",+C115+1)</f>
        <v>2035</v>
      </c>
      <c r="D116" s="345">
        <f>IF(F115+SUM(E$99:E115)=D$92,F115,D$92-SUM(E$99:E115))</f>
        <v>772911.62000000011</v>
      </c>
      <c r="E116" s="482">
        <f t="shared" si="24"/>
        <v>35405</v>
      </c>
      <c r="F116" s="483">
        <f t="shared" si="25"/>
        <v>737506.62000000011</v>
      </c>
      <c r="G116" s="483">
        <f t="shared" si="26"/>
        <v>755209.12000000011</v>
      </c>
      <c r="H116" s="484">
        <f t="shared" si="27"/>
        <v>121670.31221820551</v>
      </c>
      <c r="I116" s="540">
        <f t="shared" si="28"/>
        <v>121670.31221820551</v>
      </c>
      <c r="J116" s="476">
        <f t="shared" si="20"/>
        <v>0</v>
      </c>
      <c r="K116" s="476"/>
      <c r="L116" s="485"/>
      <c r="M116" s="476">
        <f t="shared" si="29"/>
        <v>0</v>
      </c>
      <c r="N116" s="485"/>
      <c r="O116" s="476">
        <f t="shared" si="21"/>
        <v>0</v>
      </c>
      <c r="P116" s="476">
        <f t="shared" si="22"/>
        <v>0</v>
      </c>
    </row>
    <row r="117" spans="2:16" ht="12.5">
      <c r="B117" s="160" t="str">
        <f t="shared" si="23"/>
        <v/>
      </c>
      <c r="C117" s="470">
        <f>IF(D93="","-",+C116+1)</f>
        <v>2036</v>
      </c>
      <c r="D117" s="345">
        <f>IF(F116+SUM(E$99:E116)=D$92,F116,D$92-SUM(E$99:E116))</f>
        <v>737506.62000000011</v>
      </c>
      <c r="E117" s="482">
        <f t="shared" si="24"/>
        <v>35405</v>
      </c>
      <c r="F117" s="483">
        <f t="shared" si="25"/>
        <v>702101.62000000011</v>
      </c>
      <c r="G117" s="483">
        <f t="shared" si="26"/>
        <v>719804.12000000011</v>
      </c>
      <c r="H117" s="484">
        <f t="shared" si="27"/>
        <v>117626.10340477704</v>
      </c>
      <c r="I117" s="540">
        <f t="shared" si="28"/>
        <v>117626.10340477704</v>
      </c>
      <c r="J117" s="476">
        <f t="shared" si="20"/>
        <v>0</v>
      </c>
      <c r="K117" s="476"/>
      <c r="L117" s="485"/>
      <c r="M117" s="476">
        <f t="shared" si="29"/>
        <v>0</v>
      </c>
      <c r="N117" s="485"/>
      <c r="O117" s="476">
        <f t="shared" si="21"/>
        <v>0</v>
      </c>
      <c r="P117" s="476">
        <f t="shared" si="22"/>
        <v>0</v>
      </c>
    </row>
    <row r="118" spans="2:16" ht="12.5">
      <c r="B118" s="160" t="str">
        <f t="shared" si="23"/>
        <v/>
      </c>
      <c r="C118" s="470">
        <f>IF(D93="","-",+C117+1)</f>
        <v>2037</v>
      </c>
      <c r="D118" s="345">
        <f>IF(F117+SUM(E$99:E117)=D$92,F117,D$92-SUM(E$99:E117))</f>
        <v>702101.62000000011</v>
      </c>
      <c r="E118" s="482">
        <f t="shared" si="24"/>
        <v>35405</v>
      </c>
      <c r="F118" s="483">
        <f t="shared" si="25"/>
        <v>666696.62000000011</v>
      </c>
      <c r="G118" s="483">
        <f t="shared" si="26"/>
        <v>684399.12000000011</v>
      </c>
      <c r="H118" s="484">
        <f t="shared" si="27"/>
        <v>113581.89459134855</v>
      </c>
      <c r="I118" s="540">
        <f t="shared" si="28"/>
        <v>113581.89459134855</v>
      </c>
      <c r="J118" s="476">
        <f t="shared" si="20"/>
        <v>0</v>
      </c>
      <c r="K118" s="476"/>
      <c r="L118" s="485"/>
      <c r="M118" s="476">
        <f t="shared" si="29"/>
        <v>0</v>
      </c>
      <c r="N118" s="485"/>
      <c r="O118" s="476">
        <f t="shared" si="21"/>
        <v>0</v>
      </c>
      <c r="P118" s="476">
        <f t="shared" si="22"/>
        <v>0</v>
      </c>
    </row>
    <row r="119" spans="2:16" ht="12.5">
      <c r="B119" s="160" t="str">
        <f t="shared" si="23"/>
        <v/>
      </c>
      <c r="C119" s="470">
        <f>IF(D93="","-",+C118+1)</f>
        <v>2038</v>
      </c>
      <c r="D119" s="345">
        <f>IF(F118+SUM(E$99:E118)=D$92,F118,D$92-SUM(E$99:E118))</f>
        <v>666696.62000000011</v>
      </c>
      <c r="E119" s="482">
        <f t="shared" si="24"/>
        <v>35405</v>
      </c>
      <c r="F119" s="483">
        <f t="shared" si="25"/>
        <v>631291.62000000011</v>
      </c>
      <c r="G119" s="483">
        <f t="shared" si="26"/>
        <v>648994.12000000011</v>
      </c>
      <c r="H119" s="484">
        <f t="shared" si="27"/>
        <v>109537.68577792008</v>
      </c>
      <c r="I119" s="540">
        <f t="shared" si="28"/>
        <v>109537.68577792008</v>
      </c>
      <c r="J119" s="476">
        <f t="shared" si="20"/>
        <v>0</v>
      </c>
      <c r="K119" s="476"/>
      <c r="L119" s="485"/>
      <c r="M119" s="476">
        <f t="shared" si="29"/>
        <v>0</v>
      </c>
      <c r="N119" s="485"/>
      <c r="O119" s="476">
        <f t="shared" si="21"/>
        <v>0</v>
      </c>
      <c r="P119" s="476">
        <f t="shared" si="22"/>
        <v>0</v>
      </c>
    </row>
    <row r="120" spans="2:16" ht="12.5">
      <c r="B120" s="160" t="str">
        <f t="shared" si="23"/>
        <v/>
      </c>
      <c r="C120" s="470">
        <f>IF(D93="","-",+C119+1)</f>
        <v>2039</v>
      </c>
      <c r="D120" s="345">
        <f>IF(F119+SUM(E$99:E119)=D$92,F119,D$92-SUM(E$99:E119))</f>
        <v>631291.62000000011</v>
      </c>
      <c r="E120" s="482">
        <f t="shared" si="24"/>
        <v>35405</v>
      </c>
      <c r="F120" s="483">
        <f t="shared" si="25"/>
        <v>595886.62000000011</v>
      </c>
      <c r="G120" s="483">
        <f t="shared" si="26"/>
        <v>613589.12000000011</v>
      </c>
      <c r="H120" s="484">
        <f t="shared" si="27"/>
        <v>105493.47696449159</v>
      </c>
      <c r="I120" s="540">
        <f t="shared" si="28"/>
        <v>105493.47696449159</v>
      </c>
      <c r="J120" s="476">
        <f t="shared" si="20"/>
        <v>0</v>
      </c>
      <c r="K120" s="476"/>
      <c r="L120" s="485"/>
      <c r="M120" s="476">
        <f t="shared" si="29"/>
        <v>0</v>
      </c>
      <c r="N120" s="485"/>
      <c r="O120" s="476">
        <f t="shared" si="21"/>
        <v>0</v>
      </c>
      <c r="P120" s="476">
        <f t="shared" si="22"/>
        <v>0</v>
      </c>
    </row>
    <row r="121" spans="2:16" ht="12.5">
      <c r="B121" s="160" t="str">
        <f t="shared" si="23"/>
        <v/>
      </c>
      <c r="C121" s="470">
        <f>IF(D93="","-",+C120+1)</f>
        <v>2040</v>
      </c>
      <c r="D121" s="345">
        <f>IF(F120+SUM(E$99:E120)=D$92,F120,D$92-SUM(E$99:E120))</f>
        <v>595886.62000000011</v>
      </c>
      <c r="E121" s="482">
        <f t="shared" si="24"/>
        <v>35405</v>
      </c>
      <c r="F121" s="483">
        <f t="shared" si="25"/>
        <v>560481.62000000011</v>
      </c>
      <c r="G121" s="483">
        <f t="shared" si="26"/>
        <v>578184.12000000011</v>
      </c>
      <c r="H121" s="484">
        <f t="shared" si="27"/>
        <v>101449.26815106312</v>
      </c>
      <c r="I121" s="540">
        <f t="shared" si="28"/>
        <v>101449.26815106312</v>
      </c>
      <c r="J121" s="476">
        <f t="shared" si="20"/>
        <v>0</v>
      </c>
      <c r="K121" s="476"/>
      <c r="L121" s="485"/>
      <c r="M121" s="476">
        <f t="shared" si="29"/>
        <v>0</v>
      </c>
      <c r="N121" s="485"/>
      <c r="O121" s="476">
        <f t="shared" si="21"/>
        <v>0</v>
      </c>
      <c r="P121" s="476">
        <f t="shared" si="22"/>
        <v>0</v>
      </c>
    </row>
    <row r="122" spans="2:16" ht="12.5">
      <c r="B122" s="160" t="str">
        <f t="shared" si="23"/>
        <v/>
      </c>
      <c r="C122" s="470">
        <f>IF(D93="","-",+C121+1)</f>
        <v>2041</v>
      </c>
      <c r="D122" s="345">
        <f>IF(F121+SUM(E$99:E121)=D$92,F121,D$92-SUM(E$99:E121))</f>
        <v>560481.62000000011</v>
      </c>
      <c r="E122" s="482">
        <f t="shared" si="24"/>
        <v>35405</v>
      </c>
      <c r="F122" s="483">
        <f t="shared" si="25"/>
        <v>525076.62000000011</v>
      </c>
      <c r="G122" s="483">
        <f t="shared" si="26"/>
        <v>542779.12000000011</v>
      </c>
      <c r="H122" s="484">
        <f t="shared" si="27"/>
        <v>97405.059337634651</v>
      </c>
      <c r="I122" s="540">
        <f t="shared" si="28"/>
        <v>97405.059337634651</v>
      </c>
      <c r="J122" s="476">
        <f t="shared" si="20"/>
        <v>0</v>
      </c>
      <c r="K122" s="476"/>
      <c r="L122" s="485"/>
      <c r="M122" s="476">
        <f t="shared" si="29"/>
        <v>0</v>
      </c>
      <c r="N122" s="485"/>
      <c r="O122" s="476">
        <f t="shared" si="21"/>
        <v>0</v>
      </c>
      <c r="P122" s="476">
        <f t="shared" si="22"/>
        <v>0</v>
      </c>
    </row>
    <row r="123" spans="2:16" ht="12.5">
      <c r="B123" s="160" t="str">
        <f t="shared" si="23"/>
        <v/>
      </c>
      <c r="C123" s="470">
        <f>IF(D93="","-",+C122+1)</f>
        <v>2042</v>
      </c>
      <c r="D123" s="345">
        <f>IF(F122+SUM(E$99:E122)=D$92,F122,D$92-SUM(E$99:E122))</f>
        <v>525076.62000000011</v>
      </c>
      <c r="E123" s="482">
        <f t="shared" si="24"/>
        <v>35405</v>
      </c>
      <c r="F123" s="483">
        <f t="shared" si="25"/>
        <v>489671.62000000011</v>
      </c>
      <c r="G123" s="483">
        <f t="shared" si="26"/>
        <v>507374.12000000011</v>
      </c>
      <c r="H123" s="484">
        <f t="shared" si="27"/>
        <v>93360.850524206151</v>
      </c>
      <c r="I123" s="540">
        <f t="shared" si="28"/>
        <v>93360.850524206151</v>
      </c>
      <c r="J123" s="476">
        <f t="shared" si="20"/>
        <v>0</v>
      </c>
      <c r="K123" s="476"/>
      <c r="L123" s="485"/>
      <c r="M123" s="476">
        <f t="shared" si="29"/>
        <v>0</v>
      </c>
      <c r="N123" s="485"/>
      <c r="O123" s="476">
        <f t="shared" si="21"/>
        <v>0</v>
      </c>
      <c r="P123" s="476">
        <f t="shared" si="22"/>
        <v>0</v>
      </c>
    </row>
    <row r="124" spans="2:16" ht="12.5">
      <c r="B124" s="160" t="str">
        <f t="shared" si="23"/>
        <v/>
      </c>
      <c r="C124" s="470">
        <f>IF(D93="","-",+C123+1)</f>
        <v>2043</v>
      </c>
      <c r="D124" s="345">
        <f>IF(F123+SUM(E$99:E123)=D$92,F123,D$92-SUM(E$99:E123))</f>
        <v>489671.62000000011</v>
      </c>
      <c r="E124" s="482">
        <f t="shared" si="24"/>
        <v>35405</v>
      </c>
      <c r="F124" s="483">
        <f t="shared" si="25"/>
        <v>454266.62000000011</v>
      </c>
      <c r="G124" s="483">
        <f t="shared" si="26"/>
        <v>471969.12000000011</v>
      </c>
      <c r="H124" s="484">
        <f t="shared" si="27"/>
        <v>89316.64171077768</v>
      </c>
      <c r="I124" s="540">
        <f t="shared" si="28"/>
        <v>89316.64171077768</v>
      </c>
      <c r="J124" s="476">
        <f t="shared" si="20"/>
        <v>0</v>
      </c>
      <c r="K124" s="476"/>
      <c r="L124" s="485"/>
      <c r="M124" s="476">
        <f t="shared" si="29"/>
        <v>0</v>
      </c>
      <c r="N124" s="485"/>
      <c r="O124" s="476">
        <f t="shared" si="21"/>
        <v>0</v>
      </c>
      <c r="P124" s="476">
        <f t="shared" si="22"/>
        <v>0</v>
      </c>
    </row>
    <row r="125" spans="2:16" ht="12.5">
      <c r="B125" s="160" t="str">
        <f t="shared" si="23"/>
        <v/>
      </c>
      <c r="C125" s="470">
        <f>IF(D93="","-",+C124+1)</f>
        <v>2044</v>
      </c>
      <c r="D125" s="345">
        <f>IF(F124+SUM(E$99:E124)=D$92,F124,D$92-SUM(E$99:E124))</f>
        <v>454266.62000000011</v>
      </c>
      <c r="E125" s="482">
        <f t="shared" si="24"/>
        <v>35405</v>
      </c>
      <c r="F125" s="483">
        <f t="shared" si="25"/>
        <v>418861.62000000011</v>
      </c>
      <c r="G125" s="483">
        <f t="shared" si="26"/>
        <v>436564.12000000011</v>
      </c>
      <c r="H125" s="484">
        <f t="shared" si="27"/>
        <v>85272.432897349208</v>
      </c>
      <c r="I125" s="540">
        <f t="shared" si="28"/>
        <v>85272.432897349208</v>
      </c>
      <c r="J125" s="476">
        <f t="shared" si="20"/>
        <v>0</v>
      </c>
      <c r="K125" s="476"/>
      <c r="L125" s="485"/>
      <c r="M125" s="476">
        <f t="shared" si="29"/>
        <v>0</v>
      </c>
      <c r="N125" s="485"/>
      <c r="O125" s="476">
        <f t="shared" si="21"/>
        <v>0</v>
      </c>
      <c r="P125" s="476">
        <f t="shared" si="22"/>
        <v>0</v>
      </c>
    </row>
    <row r="126" spans="2:16" ht="12.5">
      <c r="B126" s="160" t="str">
        <f t="shared" si="23"/>
        <v/>
      </c>
      <c r="C126" s="470">
        <f>IF(D93="","-",+C125+1)</f>
        <v>2045</v>
      </c>
      <c r="D126" s="345">
        <f>IF(F125+SUM(E$99:E125)=D$92,F125,D$92-SUM(E$99:E125))</f>
        <v>418861.62000000011</v>
      </c>
      <c r="E126" s="482">
        <f t="shared" si="24"/>
        <v>35405</v>
      </c>
      <c r="F126" s="483">
        <f t="shared" si="25"/>
        <v>383456.62000000011</v>
      </c>
      <c r="G126" s="483">
        <f t="shared" si="26"/>
        <v>401159.12000000011</v>
      </c>
      <c r="H126" s="484">
        <f t="shared" si="27"/>
        <v>81228.224083920722</v>
      </c>
      <c r="I126" s="540">
        <f t="shared" si="28"/>
        <v>81228.224083920722</v>
      </c>
      <c r="J126" s="476">
        <f t="shared" si="20"/>
        <v>0</v>
      </c>
      <c r="K126" s="476"/>
      <c r="L126" s="485"/>
      <c r="M126" s="476">
        <f t="shared" si="29"/>
        <v>0</v>
      </c>
      <c r="N126" s="485"/>
      <c r="O126" s="476">
        <f t="shared" si="21"/>
        <v>0</v>
      </c>
      <c r="P126" s="476">
        <f t="shared" si="22"/>
        <v>0</v>
      </c>
    </row>
    <row r="127" spans="2:16" ht="12.5">
      <c r="B127" s="160" t="str">
        <f t="shared" si="23"/>
        <v/>
      </c>
      <c r="C127" s="470">
        <f>IF(D93="","-",+C126+1)</f>
        <v>2046</v>
      </c>
      <c r="D127" s="345">
        <f>IF(F126+SUM(E$99:E126)=D$92,F126,D$92-SUM(E$99:E126))</f>
        <v>383456.62000000011</v>
      </c>
      <c r="E127" s="482">
        <f t="shared" si="24"/>
        <v>35405</v>
      </c>
      <c r="F127" s="483">
        <f t="shared" si="25"/>
        <v>348051.62000000011</v>
      </c>
      <c r="G127" s="483">
        <f t="shared" si="26"/>
        <v>365754.12000000011</v>
      </c>
      <c r="H127" s="484">
        <f t="shared" si="27"/>
        <v>77184.015270492237</v>
      </c>
      <c r="I127" s="540">
        <f t="shared" si="28"/>
        <v>77184.015270492237</v>
      </c>
      <c r="J127" s="476">
        <f t="shared" si="20"/>
        <v>0</v>
      </c>
      <c r="K127" s="476"/>
      <c r="L127" s="485"/>
      <c r="M127" s="476">
        <f t="shared" si="29"/>
        <v>0</v>
      </c>
      <c r="N127" s="485"/>
      <c r="O127" s="476">
        <f t="shared" si="21"/>
        <v>0</v>
      </c>
      <c r="P127" s="476">
        <f t="shared" si="22"/>
        <v>0</v>
      </c>
    </row>
    <row r="128" spans="2:16" ht="12.5">
      <c r="B128" s="160" t="str">
        <f t="shared" si="23"/>
        <v/>
      </c>
      <c r="C128" s="470">
        <f>IF(D93="","-",+C127+1)</f>
        <v>2047</v>
      </c>
      <c r="D128" s="345">
        <f>IF(F127+SUM(E$99:E127)=D$92,F127,D$92-SUM(E$99:E127))</f>
        <v>348051.62000000011</v>
      </c>
      <c r="E128" s="482">
        <f t="shared" si="24"/>
        <v>35405</v>
      </c>
      <c r="F128" s="483">
        <f t="shared" si="25"/>
        <v>312646.62000000011</v>
      </c>
      <c r="G128" s="483">
        <f t="shared" si="26"/>
        <v>330349.12000000011</v>
      </c>
      <c r="H128" s="484">
        <f t="shared" si="27"/>
        <v>73139.806457063765</v>
      </c>
      <c r="I128" s="540">
        <f t="shared" si="28"/>
        <v>73139.806457063765</v>
      </c>
      <c r="J128" s="476">
        <f t="shared" si="20"/>
        <v>0</v>
      </c>
      <c r="K128" s="476"/>
      <c r="L128" s="485"/>
      <c r="M128" s="476">
        <f t="shared" si="29"/>
        <v>0</v>
      </c>
      <c r="N128" s="485"/>
      <c r="O128" s="476">
        <f t="shared" si="21"/>
        <v>0</v>
      </c>
      <c r="P128" s="476">
        <f t="shared" si="22"/>
        <v>0</v>
      </c>
    </row>
    <row r="129" spans="2:16" ht="12.5">
      <c r="B129" s="160" t="str">
        <f t="shared" si="23"/>
        <v/>
      </c>
      <c r="C129" s="470">
        <f>IF(D93="","-",+C128+1)</f>
        <v>2048</v>
      </c>
      <c r="D129" s="345">
        <f>IF(F128+SUM(E$99:E128)=D$92,F128,D$92-SUM(E$99:E128))</f>
        <v>312646.62000000011</v>
      </c>
      <c r="E129" s="482">
        <f t="shared" si="24"/>
        <v>35405</v>
      </c>
      <c r="F129" s="483">
        <f t="shared" si="25"/>
        <v>277241.62000000011</v>
      </c>
      <c r="G129" s="483">
        <f t="shared" si="26"/>
        <v>294944.12000000011</v>
      </c>
      <c r="H129" s="484">
        <f t="shared" si="27"/>
        <v>69095.597643635294</v>
      </c>
      <c r="I129" s="540">
        <f t="shared" si="28"/>
        <v>69095.597643635294</v>
      </c>
      <c r="J129" s="476">
        <f t="shared" si="20"/>
        <v>0</v>
      </c>
      <c r="K129" s="476"/>
      <c r="L129" s="485"/>
      <c r="M129" s="476">
        <f t="shared" si="29"/>
        <v>0</v>
      </c>
      <c r="N129" s="485"/>
      <c r="O129" s="476">
        <f t="shared" si="21"/>
        <v>0</v>
      </c>
      <c r="P129" s="476">
        <f t="shared" si="22"/>
        <v>0</v>
      </c>
    </row>
    <row r="130" spans="2:16" ht="12.5">
      <c r="B130" s="160" t="str">
        <f t="shared" si="23"/>
        <v/>
      </c>
      <c r="C130" s="470">
        <f>IF(D93="","-",+C129+1)</f>
        <v>2049</v>
      </c>
      <c r="D130" s="345">
        <f>IF(F129+SUM(E$99:E129)=D$92,F129,D$92-SUM(E$99:E129))</f>
        <v>277241.62000000011</v>
      </c>
      <c r="E130" s="482">
        <f t="shared" si="24"/>
        <v>35405</v>
      </c>
      <c r="F130" s="483">
        <f t="shared" si="25"/>
        <v>241836.62000000011</v>
      </c>
      <c r="G130" s="483">
        <f t="shared" si="26"/>
        <v>259539.12000000011</v>
      </c>
      <c r="H130" s="484">
        <f t="shared" si="27"/>
        <v>65051.388830206808</v>
      </c>
      <c r="I130" s="540">
        <f t="shared" si="28"/>
        <v>65051.388830206808</v>
      </c>
      <c r="J130" s="476">
        <f t="shared" si="20"/>
        <v>0</v>
      </c>
      <c r="K130" s="476"/>
      <c r="L130" s="485"/>
      <c r="M130" s="476">
        <f t="shared" si="29"/>
        <v>0</v>
      </c>
      <c r="N130" s="485"/>
      <c r="O130" s="476">
        <f t="shared" si="21"/>
        <v>0</v>
      </c>
      <c r="P130" s="476">
        <f t="shared" si="22"/>
        <v>0</v>
      </c>
    </row>
    <row r="131" spans="2:16" ht="12.5">
      <c r="B131" s="160" t="str">
        <f t="shared" si="23"/>
        <v/>
      </c>
      <c r="C131" s="470">
        <f>IF(D93="","-",+C130+1)</f>
        <v>2050</v>
      </c>
      <c r="D131" s="345">
        <f>IF(F130+SUM(E$99:E130)=D$92,F130,D$92-SUM(E$99:E130))</f>
        <v>241836.62000000011</v>
      </c>
      <c r="E131" s="482">
        <f t="shared" si="24"/>
        <v>35405</v>
      </c>
      <c r="F131" s="483">
        <f t="shared" si="25"/>
        <v>206431.62000000011</v>
      </c>
      <c r="G131" s="483">
        <f t="shared" si="26"/>
        <v>224134.12000000011</v>
      </c>
      <c r="H131" s="484">
        <f t="shared" si="27"/>
        <v>61007.180016778329</v>
      </c>
      <c r="I131" s="540">
        <f t="shared" si="28"/>
        <v>61007.180016778329</v>
      </c>
      <c r="J131" s="476">
        <f t="shared" ref="J131:J154" si="30">+I541-H541</f>
        <v>0</v>
      </c>
      <c r="K131" s="476"/>
      <c r="L131" s="485"/>
      <c r="M131" s="476">
        <f t="shared" ref="M131:M154" si="31">IF(L541&lt;&gt;0,+H541-L541,0)</f>
        <v>0</v>
      </c>
      <c r="N131" s="485"/>
      <c r="O131" s="476">
        <f t="shared" ref="O131:O154" si="32">IF(N541&lt;&gt;0,+I541-N541,0)</f>
        <v>0</v>
      </c>
      <c r="P131" s="476">
        <f t="shared" ref="P131:P154" si="33">+O541-M541</f>
        <v>0</v>
      </c>
    </row>
    <row r="132" spans="2:16" ht="12.5">
      <c r="B132" s="160" t="str">
        <f t="shared" si="23"/>
        <v/>
      </c>
      <c r="C132" s="470">
        <f>IF(D93="","-",+C131+1)</f>
        <v>2051</v>
      </c>
      <c r="D132" s="345">
        <f>IF(F131+SUM(E$99:E131)=D$92,F131,D$92-SUM(E$99:E131))</f>
        <v>206431.62000000011</v>
      </c>
      <c r="E132" s="482">
        <f t="shared" si="24"/>
        <v>35405</v>
      </c>
      <c r="F132" s="483">
        <f t="shared" si="25"/>
        <v>171026.62000000011</v>
      </c>
      <c r="G132" s="483">
        <f t="shared" si="26"/>
        <v>188729.12000000011</v>
      </c>
      <c r="H132" s="484">
        <f t="shared" si="27"/>
        <v>56962.971203349851</v>
      </c>
      <c r="I132" s="540">
        <f t="shared" si="28"/>
        <v>56962.971203349851</v>
      </c>
      <c r="J132" s="476">
        <f t="shared" si="30"/>
        <v>0</v>
      </c>
      <c r="K132" s="476"/>
      <c r="L132" s="485"/>
      <c r="M132" s="476">
        <f t="shared" si="31"/>
        <v>0</v>
      </c>
      <c r="N132" s="485"/>
      <c r="O132" s="476">
        <f t="shared" si="32"/>
        <v>0</v>
      </c>
      <c r="P132" s="476">
        <f t="shared" si="33"/>
        <v>0</v>
      </c>
    </row>
    <row r="133" spans="2:16" ht="12.5">
      <c r="B133" s="160" t="str">
        <f t="shared" si="23"/>
        <v/>
      </c>
      <c r="C133" s="470">
        <f>IF(D93="","-",+C132+1)</f>
        <v>2052</v>
      </c>
      <c r="D133" s="345">
        <f>IF(F132+SUM(E$99:E132)=D$92,F132,D$92-SUM(E$99:E132))</f>
        <v>171026.62000000011</v>
      </c>
      <c r="E133" s="482">
        <f t="shared" si="24"/>
        <v>35405</v>
      </c>
      <c r="F133" s="483">
        <f t="shared" si="25"/>
        <v>135621.62000000011</v>
      </c>
      <c r="G133" s="483">
        <f t="shared" si="26"/>
        <v>153324.12000000011</v>
      </c>
      <c r="H133" s="484">
        <f t="shared" si="27"/>
        <v>52918.762389921372</v>
      </c>
      <c r="I133" s="540">
        <f t="shared" si="28"/>
        <v>52918.762389921372</v>
      </c>
      <c r="J133" s="476">
        <f t="shared" si="30"/>
        <v>0</v>
      </c>
      <c r="K133" s="476"/>
      <c r="L133" s="485"/>
      <c r="M133" s="476">
        <f t="shared" si="31"/>
        <v>0</v>
      </c>
      <c r="N133" s="485"/>
      <c r="O133" s="476">
        <f t="shared" si="32"/>
        <v>0</v>
      </c>
      <c r="P133" s="476">
        <f t="shared" si="33"/>
        <v>0</v>
      </c>
    </row>
    <row r="134" spans="2:16" ht="12.5">
      <c r="B134" s="160" t="str">
        <f t="shared" si="23"/>
        <v/>
      </c>
      <c r="C134" s="470">
        <f>IF(D93="","-",+C133+1)</f>
        <v>2053</v>
      </c>
      <c r="D134" s="345">
        <f>IF(F133+SUM(E$99:E133)=D$92,F133,D$92-SUM(E$99:E133))</f>
        <v>135621.62000000011</v>
      </c>
      <c r="E134" s="482">
        <f t="shared" si="24"/>
        <v>35405</v>
      </c>
      <c r="F134" s="483">
        <f t="shared" si="25"/>
        <v>100216.62000000011</v>
      </c>
      <c r="G134" s="483">
        <f t="shared" si="26"/>
        <v>117919.12000000011</v>
      </c>
      <c r="H134" s="484">
        <f t="shared" si="27"/>
        <v>48874.553576492894</v>
      </c>
      <c r="I134" s="540">
        <f t="shared" si="28"/>
        <v>48874.553576492894</v>
      </c>
      <c r="J134" s="476">
        <f t="shared" si="30"/>
        <v>0</v>
      </c>
      <c r="K134" s="476"/>
      <c r="L134" s="485"/>
      <c r="M134" s="476">
        <f t="shared" si="31"/>
        <v>0</v>
      </c>
      <c r="N134" s="485"/>
      <c r="O134" s="476">
        <f t="shared" si="32"/>
        <v>0</v>
      </c>
      <c r="P134" s="476">
        <f t="shared" si="33"/>
        <v>0</v>
      </c>
    </row>
    <row r="135" spans="2:16" ht="12.5">
      <c r="B135" s="160" t="str">
        <f t="shared" si="23"/>
        <v/>
      </c>
      <c r="C135" s="470">
        <f>IF(D93="","-",+C134+1)</f>
        <v>2054</v>
      </c>
      <c r="D135" s="345">
        <f>IF(F134+SUM(E$99:E134)=D$92,F134,D$92-SUM(E$99:E134))</f>
        <v>100216.62000000011</v>
      </c>
      <c r="E135" s="482">
        <f t="shared" si="24"/>
        <v>35405</v>
      </c>
      <c r="F135" s="483">
        <f t="shared" si="25"/>
        <v>64811.620000000112</v>
      </c>
      <c r="G135" s="483">
        <f t="shared" si="26"/>
        <v>82514.120000000112</v>
      </c>
      <c r="H135" s="484">
        <f t="shared" si="27"/>
        <v>44830.344763064415</v>
      </c>
      <c r="I135" s="540">
        <f t="shared" si="28"/>
        <v>44830.344763064415</v>
      </c>
      <c r="J135" s="476">
        <f t="shared" si="30"/>
        <v>0</v>
      </c>
      <c r="K135" s="476"/>
      <c r="L135" s="485"/>
      <c r="M135" s="476">
        <f t="shared" si="31"/>
        <v>0</v>
      </c>
      <c r="N135" s="485"/>
      <c r="O135" s="476">
        <f t="shared" si="32"/>
        <v>0</v>
      </c>
      <c r="P135" s="476">
        <f t="shared" si="33"/>
        <v>0</v>
      </c>
    </row>
    <row r="136" spans="2:16" ht="12.5">
      <c r="B136" s="160" t="str">
        <f t="shared" si="23"/>
        <v/>
      </c>
      <c r="C136" s="470">
        <f>IF(D93="","-",+C135+1)</f>
        <v>2055</v>
      </c>
      <c r="D136" s="345">
        <f>IF(F135+SUM(E$99:E135)=D$92,F135,D$92-SUM(E$99:E135))</f>
        <v>64811.620000000112</v>
      </c>
      <c r="E136" s="482">
        <f t="shared" si="24"/>
        <v>35405</v>
      </c>
      <c r="F136" s="483">
        <f t="shared" si="25"/>
        <v>29406.620000000112</v>
      </c>
      <c r="G136" s="483">
        <f t="shared" si="26"/>
        <v>47109.120000000112</v>
      </c>
      <c r="H136" s="484">
        <f t="shared" si="27"/>
        <v>40786.135949635936</v>
      </c>
      <c r="I136" s="540">
        <f t="shared" si="28"/>
        <v>40786.135949635936</v>
      </c>
      <c r="J136" s="476">
        <f t="shared" si="30"/>
        <v>0</v>
      </c>
      <c r="K136" s="476"/>
      <c r="L136" s="485"/>
      <c r="M136" s="476">
        <f t="shared" si="31"/>
        <v>0</v>
      </c>
      <c r="N136" s="485"/>
      <c r="O136" s="476">
        <f t="shared" si="32"/>
        <v>0</v>
      </c>
      <c r="P136" s="476">
        <f t="shared" si="33"/>
        <v>0</v>
      </c>
    </row>
    <row r="137" spans="2:16" ht="12.5">
      <c r="B137" s="160" t="str">
        <f t="shared" si="23"/>
        <v/>
      </c>
      <c r="C137" s="470">
        <f>IF(D93="","-",+C136+1)</f>
        <v>2056</v>
      </c>
      <c r="D137" s="345">
        <f>IF(F136+SUM(E$99:E136)=D$92,F136,D$92-SUM(E$99:E136))</f>
        <v>29406.620000000112</v>
      </c>
      <c r="E137" s="482">
        <f t="shared" si="24"/>
        <v>29406.620000000112</v>
      </c>
      <c r="F137" s="483">
        <f t="shared" si="25"/>
        <v>0</v>
      </c>
      <c r="G137" s="483">
        <f t="shared" si="26"/>
        <v>14703.310000000056</v>
      </c>
      <c r="H137" s="484">
        <f t="shared" si="27"/>
        <v>31086.135771460958</v>
      </c>
      <c r="I137" s="540">
        <f t="shared" si="28"/>
        <v>31086.135771460958</v>
      </c>
      <c r="J137" s="476">
        <f t="shared" si="30"/>
        <v>0</v>
      </c>
      <c r="K137" s="476"/>
      <c r="L137" s="485"/>
      <c r="M137" s="476">
        <f t="shared" si="31"/>
        <v>0</v>
      </c>
      <c r="N137" s="485"/>
      <c r="O137" s="476">
        <f t="shared" si="32"/>
        <v>0</v>
      </c>
      <c r="P137" s="476">
        <f t="shared" si="33"/>
        <v>0</v>
      </c>
    </row>
    <row r="138" spans="2:16" ht="12.5">
      <c r="B138" s="160" t="str">
        <f t="shared" si="23"/>
        <v/>
      </c>
      <c r="C138" s="470">
        <f>IF(D93="","-",+C137+1)</f>
        <v>2057</v>
      </c>
      <c r="D138" s="345">
        <f>IF(F137+SUM(E$99:E137)=D$92,F137,D$92-SUM(E$99:E137))</f>
        <v>0</v>
      </c>
      <c r="E138" s="482">
        <f t="shared" si="24"/>
        <v>0</v>
      </c>
      <c r="F138" s="483">
        <f t="shared" si="25"/>
        <v>0</v>
      </c>
      <c r="G138" s="483">
        <f t="shared" si="26"/>
        <v>0</v>
      </c>
      <c r="H138" s="484">
        <f t="shared" si="27"/>
        <v>0</v>
      </c>
      <c r="I138" s="540">
        <f t="shared" si="28"/>
        <v>0</v>
      </c>
      <c r="J138" s="476">
        <f t="shared" si="30"/>
        <v>0</v>
      </c>
      <c r="K138" s="476"/>
      <c r="L138" s="485"/>
      <c r="M138" s="476">
        <f t="shared" si="31"/>
        <v>0</v>
      </c>
      <c r="N138" s="485"/>
      <c r="O138" s="476">
        <f t="shared" si="32"/>
        <v>0</v>
      </c>
      <c r="P138" s="476">
        <f t="shared" si="33"/>
        <v>0</v>
      </c>
    </row>
    <row r="139" spans="2:16" ht="12.5">
      <c r="B139" s="160" t="str">
        <f t="shared" si="23"/>
        <v/>
      </c>
      <c r="C139" s="470">
        <f>IF(D93="","-",+C138+1)</f>
        <v>2058</v>
      </c>
      <c r="D139" s="345">
        <f>IF(F138+SUM(E$99:E138)=D$92,F138,D$92-SUM(E$99:E138))</f>
        <v>0</v>
      </c>
      <c r="E139" s="482">
        <f t="shared" si="24"/>
        <v>0</v>
      </c>
      <c r="F139" s="483">
        <f t="shared" si="25"/>
        <v>0</v>
      </c>
      <c r="G139" s="483">
        <f t="shared" si="26"/>
        <v>0</v>
      </c>
      <c r="H139" s="484">
        <f t="shared" si="27"/>
        <v>0</v>
      </c>
      <c r="I139" s="540">
        <f t="shared" si="28"/>
        <v>0</v>
      </c>
      <c r="J139" s="476">
        <f t="shared" si="30"/>
        <v>0</v>
      </c>
      <c r="K139" s="476"/>
      <c r="L139" s="485"/>
      <c r="M139" s="476">
        <f t="shared" si="31"/>
        <v>0</v>
      </c>
      <c r="N139" s="485"/>
      <c r="O139" s="476">
        <f t="shared" si="32"/>
        <v>0</v>
      </c>
      <c r="P139" s="476">
        <f t="shared" si="33"/>
        <v>0</v>
      </c>
    </row>
    <row r="140" spans="2:16" ht="12.5">
      <c r="B140" s="160" t="str">
        <f t="shared" si="23"/>
        <v/>
      </c>
      <c r="C140" s="470">
        <f>IF(D93="","-",+C139+1)</f>
        <v>2059</v>
      </c>
      <c r="D140" s="345">
        <f>IF(F139+SUM(E$99:E139)=D$92,F139,D$92-SUM(E$99:E139))</f>
        <v>0</v>
      </c>
      <c r="E140" s="482">
        <f t="shared" si="24"/>
        <v>0</v>
      </c>
      <c r="F140" s="483">
        <f t="shared" si="25"/>
        <v>0</v>
      </c>
      <c r="G140" s="483">
        <f t="shared" si="26"/>
        <v>0</v>
      </c>
      <c r="H140" s="484">
        <f t="shared" si="27"/>
        <v>0</v>
      </c>
      <c r="I140" s="540">
        <f t="shared" si="28"/>
        <v>0</v>
      </c>
      <c r="J140" s="476">
        <f t="shared" si="30"/>
        <v>0</v>
      </c>
      <c r="K140" s="476"/>
      <c r="L140" s="485"/>
      <c r="M140" s="476">
        <f t="shared" si="31"/>
        <v>0</v>
      </c>
      <c r="N140" s="485"/>
      <c r="O140" s="476">
        <f t="shared" si="32"/>
        <v>0</v>
      </c>
      <c r="P140" s="476">
        <f t="shared" si="33"/>
        <v>0</v>
      </c>
    </row>
    <row r="141" spans="2:16" ht="12.5">
      <c r="B141" s="160" t="str">
        <f t="shared" si="23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4"/>
        <v>0</v>
      </c>
      <c r="F141" s="483">
        <f t="shared" si="25"/>
        <v>0</v>
      </c>
      <c r="G141" s="483">
        <f t="shared" si="26"/>
        <v>0</v>
      </c>
      <c r="H141" s="484">
        <f t="shared" si="27"/>
        <v>0</v>
      </c>
      <c r="I141" s="540">
        <f t="shared" si="28"/>
        <v>0</v>
      </c>
      <c r="J141" s="476">
        <f t="shared" si="30"/>
        <v>0</v>
      </c>
      <c r="K141" s="476"/>
      <c r="L141" s="485"/>
      <c r="M141" s="476">
        <f t="shared" si="31"/>
        <v>0</v>
      </c>
      <c r="N141" s="485"/>
      <c r="O141" s="476">
        <f t="shared" si="32"/>
        <v>0</v>
      </c>
      <c r="P141" s="476">
        <f t="shared" si="33"/>
        <v>0</v>
      </c>
    </row>
    <row r="142" spans="2:16" ht="12.5">
      <c r="B142" s="160" t="str">
        <f t="shared" si="23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4"/>
        <v>0</v>
      </c>
      <c r="F142" s="483">
        <f t="shared" si="25"/>
        <v>0</v>
      </c>
      <c r="G142" s="483">
        <f t="shared" si="26"/>
        <v>0</v>
      </c>
      <c r="H142" s="484">
        <f t="shared" si="27"/>
        <v>0</v>
      </c>
      <c r="I142" s="540">
        <f t="shared" si="28"/>
        <v>0</v>
      </c>
      <c r="J142" s="476">
        <f t="shared" si="30"/>
        <v>0</v>
      </c>
      <c r="K142" s="476"/>
      <c r="L142" s="485"/>
      <c r="M142" s="476">
        <f t="shared" si="31"/>
        <v>0</v>
      </c>
      <c r="N142" s="485"/>
      <c r="O142" s="476">
        <f t="shared" si="32"/>
        <v>0</v>
      </c>
      <c r="P142" s="476">
        <f t="shared" si="33"/>
        <v>0</v>
      </c>
    </row>
    <row r="143" spans="2:16" ht="12.5">
      <c r="B143" s="160" t="str">
        <f t="shared" si="23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4"/>
        <v>0</v>
      </c>
      <c r="F143" s="483">
        <f t="shared" si="25"/>
        <v>0</v>
      </c>
      <c r="G143" s="483">
        <f t="shared" si="26"/>
        <v>0</v>
      </c>
      <c r="H143" s="484">
        <f t="shared" si="27"/>
        <v>0</v>
      </c>
      <c r="I143" s="540">
        <f t="shared" si="28"/>
        <v>0</v>
      </c>
      <c r="J143" s="476">
        <f t="shared" si="30"/>
        <v>0</v>
      </c>
      <c r="K143" s="476"/>
      <c r="L143" s="485"/>
      <c r="M143" s="476">
        <f t="shared" si="31"/>
        <v>0</v>
      </c>
      <c r="N143" s="485"/>
      <c r="O143" s="476">
        <f t="shared" si="32"/>
        <v>0</v>
      </c>
      <c r="P143" s="476">
        <f t="shared" si="33"/>
        <v>0</v>
      </c>
    </row>
    <row r="144" spans="2:16" ht="12.5">
      <c r="B144" s="160" t="str">
        <f t="shared" si="23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4"/>
        <v>0</v>
      </c>
      <c r="F144" s="483">
        <f t="shared" si="25"/>
        <v>0</v>
      </c>
      <c r="G144" s="483">
        <f t="shared" si="26"/>
        <v>0</v>
      </c>
      <c r="H144" s="484">
        <f t="shared" si="27"/>
        <v>0</v>
      </c>
      <c r="I144" s="540">
        <f t="shared" si="28"/>
        <v>0</v>
      </c>
      <c r="J144" s="476">
        <f t="shared" si="30"/>
        <v>0</v>
      </c>
      <c r="K144" s="476"/>
      <c r="L144" s="485"/>
      <c r="M144" s="476">
        <f t="shared" si="31"/>
        <v>0</v>
      </c>
      <c r="N144" s="485"/>
      <c r="O144" s="476">
        <f t="shared" si="32"/>
        <v>0</v>
      </c>
      <c r="P144" s="476">
        <f t="shared" si="33"/>
        <v>0</v>
      </c>
    </row>
    <row r="145" spans="2:16" ht="12.5">
      <c r="B145" s="160" t="str">
        <f t="shared" si="23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4"/>
        <v>0</v>
      </c>
      <c r="F145" s="483">
        <f t="shared" si="25"/>
        <v>0</v>
      </c>
      <c r="G145" s="483">
        <f t="shared" si="26"/>
        <v>0</v>
      </c>
      <c r="H145" s="484">
        <f t="shared" si="27"/>
        <v>0</v>
      </c>
      <c r="I145" s="540">
        <f t="shared" si="28"/>
        <v>0</v>
      </c>
      <c r="J145" s="476">
        <f t="shared" si="30"/>
        <v>0</v>
      </c>
      <c r="K145" s="476"/>
      <c r="L145" s="485"/>
      <c r="M145" s="476">
        <f t="shared" si="31"/>
        <v>0</v>
      </c>
      <c r="N145" s="485"/>
      <c r="O145" s="476">
        <f t="shared" si="32"/>
        <v>0</v>
      </c>
      <c r="P145" s="476">
        <f t="shared" si="33"/>
        <v>0</v>
      </c>
    </row>
    <row r="146" spans="2:16" ht="12.5">
      <c r="B146" s="160" t="str">
        <f t="shared" si="23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4"/>
        <v>0</v>
      </c>
      <c r="F146" s="483">
        <f t="shared" si="25"/>
        <v>0</v>
      </c>
      <c r="G146" s="483">
        <f t="shared" si="26"/>
        <v>0</v>
      </c>
      <c r="H146" s="484">
        <f t="shared" si="27"/>
        <v>0</v>
      </c>
      <c r="I146" s="540">
        <f t="shared" si="28"/>
        <v>0</v>
      </c>
      <c r="J146" s="476">
        <f t="shared" si="30"/>
        <v>0</v>
      </c>
      <c r="K146" s="476"/>
      <c r="L146" s="485"/>
      <c r="M146" s="476">
        <f t="shared" si="31"/>
        <v>0</v>
      </c>
      <c r="N146" s="485"/>
      <c r="O146" s="476">
        <f t="shared" si="32"/>
        <v>0</v>
      </c>
      <c r="P146" s="476">
        <f t="shared" si="33"/>
        <v>0</v>
      </c>
    </row>
    <row r="147" spans="2:16" ht="12.5">
      <c r="B147" s="160" t="str">
        <f t="shared" si="23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4"/>
        <v>0</v>
      </c>
      <c r="F147" s="483">
        <f t="shared" si="25"/>
        <v>0</v>
      </c>
      <c r="G147" s="483">
        <f t="shared" si="26"/>
        <v>0</v>
      </c>
      <c r="H147" s="484">
        <f t="shared" si="27"/>
        <v>0</v>
      </c>
      <c r="I147" s="540">
        <f t="shared" si="28"/>
        <v>0</v>
      </c>
      <c r="J147" s="476">
        <f t="shared" si="30"/>
        <v>0</v>
      </c>
      <c r="K147" s="476"/>
      <c r="L147" s="485"/>
      <c r="M147" s="476">
        <f t="shared" si="31"/>
        <v>0</v>
      </c>
      <c r="N147" s="485"/>
      <c r="O147" s="476">
        <f t="shared" si="32"/>
        <v>0</v>
      </c>
      <c r="P147" s="476">
        <f t="shared" si="33"/>
        <v>0</v>
      </c>
    </row>
    <row r="148" spans="2:16" ht="12.5">
      <c r="B148" s="160" t="str">
        <f t="shared" si="23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4"/>
        <v>0</v>
      </c>
      <c r="F148" s="483">
        <f t="shared" si="25"/>
        <v>0</v>
      </c>
      <c r="G148" s="483">
        <f t="shared" si="26"/>
        <v>0</v>
      </c>
      <c r="H148" s="484">
        <f t="shared" si="27"/>
        <v>0</v>
      </c>
      <c r="I148" s="540">
        <f t="shared" si="28"/>
        <v>0</v>
      </c>
      <c r="J148" s="476">
        <f t="shared" si="30"/>
        <v>0</v>
      </c>
      <c r="K148" s="476"/>
      <c r="L148" s="485"/>
      <c r="M148" s="476">
        <f t="shared" si="31"/>
        <v>0</v>
      </c>
      <c r="N148" s="485"/>
      <c r="O148" s="476">
        <f t="shared" si="32"/>
        <v>0</v>
      </c>
      <c r="P148" s="476">
        <f t="shared" si="33"/>
        <v>0</v>
      </c>
    </row>
    <row r="149" spans="2:16" ht="12.5">
      <c r="B149" s="160" t="str">
        <f t="shared" si="23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4"/>
        <v>0</v>
      </c>
      <c r="F149" s="483">
        <f t="shared" si="25"/>
        <v>0</v>
      </c>
      <c r="G149" s="483">
        <f t="shared" si="26"/>
        <v>0</v>
      </c>
      <c r="H149" s="484">
        <f t="shared" si="27"/>
        <v>0</v>
      </c>
      <c r="I149" s="540">
        <f t="shared" si="28"/>
        <v>0</v>
      </c>
      <c r="J149" s="476">
        <f t="shared" si="30"/>
        <v>0</v>
      </c>
      <c r="K149" s="476"/>
      <c r="L149" s="485"/>
      <c r="M149" s="476">
        <f t="shared" si="31"/>
        <v>0</v>
      </c>
      <c r="N149" s="485"/>
      <c r="O149" s="476">
        <f t="shared" si="32"/>
        <v>0</v>
      </c>
      <c r="P149" s="476">
        <f t="shared" si="33"/>
        <v>0</v>
      </c>
    </row>
    <row r="150" spans="2:16" ht="12.5">
      <c r="B150" s="160" t="str">
        <f t="shared" si="23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4"/>
        <v>0</v>
      </c>
      <c r="F150" s="483">
        <f t="shared" si="25"/>
        <v>0</v>
      </c>
      <c r="G150" s="483">
        <f t="shared" si="26"/>
        <v>0</v>
      </c>
      <c r="H150" s="484">
        <f t="shared" si="27"/>
        <v>0</v>
      </c>
      <c r="I150" s="540">
        <f t="shared" si="28"/>
        <v>0</v>
      </c>
      <c r="J150" s="476">
        <f t="shared" si="30"/>
        <v>0</v>
      </c>
      <c r="K150" s="476"/>
      <c r="L150" s="485"/>
      <c r="M150" s="476">
        <f t="shared" si="31"/>
        <v>0</v>
      </c>
      <c r="N150" s="485"/>
      <c r="O150" s="476">
        <f t="shared" si="32"/>
        <v>0</v>
      </c>
      <c r="P150" s="476">
        <f t="shared" si="33"/>
        <v>0</v>
      </c>
    </row>
    <row r="151" spans="2:16" ht="12.5">
      <c r="B151" s="160" t="str">
        <f t="shared" si="23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4"/>
        <v>0</v>
      </c>
      <c r="F151" s="483">
        <f t="shared" si="25"/>
        <v>0</v>
      </c>
      <c r="G151" s="483">
        <f t="shared" si="26"/>
        <v>0</v>
      </c>
      <c r="H151" s="484">
        <f t="shared" si="27"/>
        <v>0</v>
      </c>
      <c r="I151" s="540">
        <f t="shared" si="28"/>
        <v>0</v>
      </c>
      <c r="J151" s="476">
        <f t="shared" si="30"/>
        <v>0</v>
      </c>
      <c r="K151" s="476"/>
      <c r="L151" s="485"/>
      <c r="M151" s="476">
        <f t="shared" si="31"/>
        <v>0</v>
      </c>
      <c r="N151" s="485"/>
      <c r="O151" s="476">
        <f t="shared" si="32"/>
        <v>0</v>
      </c>
      <c r="P151" s="476">
        <f t="shared" si="33"/>
        <v>0</v>
      </c>
    </row>
    <row r="152" spans="2:16" ht="12.5">
      <c r="B152" s="160" t="str">
        <f t="shared" si="23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4"/>
        <v>0</v>
      </c>
      <c r="F152" s="483">
        <f t="shared" si="25"/>
        <v>0</v>
      </c>
      <c r="G152" s="483">
        <f t="shared" si="26"/>
        <v>0</v>
      </c>
      <c r="H152" s="484">
        <f t="shared" si="27"/>
        <v>0</v>
      </c>
      <c r="I152" s="540">
        <f t="shared" si="28"/>
        <v>0</v>
      </c>
      <c r="J152" s="476">
        <f t="shared" si="30"/>
        <v>0</v>
      </c>
      <c r="K152" s="476"/>
      <c r="L152" s="485"/>
      <c r="M152" s="476">
        <f t="shared" si="31"/>
        <v>0</v>
      </c>
      <c r="N152" s="485"/>
      <c r="O152" s="476">
        <f t="shared" si="32"/>
        <v>0</v>
      </c>
      <c r="P152" s="476">
        <f t="shared" si="33"/>
        <v>0</v>
      </c>
    </row>
    <row r="153" spans="2:16" ht="12.5">
      <c r="B153" s="160" t="str">
        <f t="shared" si="23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4"/>
        <v>0</v>
      </c>
      <c r="F153" s="483">
        <f t="shared" si="25"/>
        <v>0</v>
      </c>
      <c r="G153" s="483">
        <f t="shared" si="26"/>
        <v>0</v>
      </c>
      <c r="H153" s="484">
        <f t="shared" si="27"/>
        <v>0</v>
      </c>
      <c r="I153" s="540">
        <f t="shared" si="28"/>
        <v>0</v>
      </c>
      <c r="J153" s="476">
        <f t="shared" si="30"/>
        <v>0</v>
      </c>
      <c r="K153" s="476"/>
      <c r="L153" s="485"/>
      <c r="M153" s="476">
        <f t="shared" si="31"/>
        <v>0</v>
      </c>
      <c r="N153" s="485"/>
      <c r="O153" s="476">
        <f t="shared" si="32"/>
        <v>0</v>
      </c>
      <c r="P153" s="476">
        <f t="shared" si="33"/>
        <v>0</v>
      </c>
    </row>
    <row r="154" spans="2:16" ht="13" thickBot="1">
      <c r="B154" s="160" t="str">
        <f t="shared" si="23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4"/>
        <v>0</v>
      </c>
      <c r="F154" s="488">
        <f t="shared" si="25"/>
        <v>0</v>
      </c>
      <c r="G154" s="488">
        <f t="shared" si="26"/>
        <v>0</v>
      </c>
      <c r="H154" s="610">
        <f t="shared" ref="H154" si="34">+J$94*G154+E154</f>
        <v>0</v>
      </c>
      <c r="I154" s="611">
        <f t="shared" ref="I154" si="35">+J$95*G154+E154</f>
        <v>0</v>
      </c>
      <c r="J154" s="493">
        <f t="shared" si="30"/>
        <v>0</v>
      </c>
      <c r="K154" s="476"/>
      <c r="L154" s="492"/>
      <c r="M154" s="493">
        <f t="shared" si="31"/>
        <v>0</v>
      </c>
      <c r="N154" s="492"/>
      <c r="O154" s="493">
        <f t="shared" si="32"/>
        <v>0</v>
      </c>
      <c r="P154" s="493">
        <f t="shared" si="33"/>
        <v>0</v>
      </c>
    </row>
    <row r="155" spans="2:16" ht="12.5">
      <c r="C155" s="345" t="s">
        <v>77</v>
      </c>
      <c r="D155" s="346"/>
      <c r="E155" s="346">
        <f>SUM(E99:E154)</f>
        <v>1345382.62</v>
      </c>
      <c r="F155" s="346"/>
      <c r="G155" s="346"/>
      <c r="H155" s="346">
        <f>SUM(H99:H154)</f>
        <v>4291004.0886262693</v>
      </c>
      <c r="I155" s="346">
        <f>SUM(I99:I154)</f>
        <v>4291004.0886262693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2"/>
  <sheetViews>
    <sheetView topLeftCell="A59" zoomScale="85" zoomScaleNormal="85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25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36192.287124459006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36192.287124459006</v>
      </c>
      <c r="O6" s="231"/>
      <c r="P6" s="231"/>
    </row>
    <row r="7" spans="1:16" ht="13.5" thickBot="1">
      <c r="C7" s="429" t="s">
        <v>46</v>
      </c>
      <c r="D7" s="597" t="s">
        <v>309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310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288859.60000000003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7406.6564102564107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2018</v>
      </c>
      <c r="D17" s="582">
        <v>0</v>
      </c>
      <c r="E17" s="605">
        <v>11600</v>
      </c>
      <c r="F17" s="582">
        <v>1032400</v>
      </c>
      <c r="G17" s="605">
        <v>81460.13871045578</v>
      </c>
      <c r="H17" s="585">
        <v>81460.13871045578</v>
      </c>
      <c r="I17" s="473">
        <f>H17-G17</f>
        <v>0</v>
      </c>
      <c r="J17" s="473"/>
      <c r="K17" s="552">
        <f t="shared" ref="K17:K22" si="0">+G17</f>
        <v>81460.13871045578</v>
      </c>
      <c r="L17" s="475">
        <f t="shared" ref="L17:L72" si="1">IF(K17&lt;&gt;0,+G17-K17,0)</f>
        <v>0</v>
      </c>
      <c r="M17" s="552">
        <f t="shared" ref="M17:M22" si="2">+H17</f>
        <v>81460.13871045578</v>
      </c>
      <c r="N17" s="475">
        <f t="shared" ref="N17:N72" si="3">IF(M17&lt;&gt;0,+H17-M17,0)</f>
        <v>0</v>
      </c>
      <c r="O17" s="476">
        <f t="shared" ref="O17:O72" si="4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2019</v>
      </c>
      <c r="D18" s="582">
        <v>0</v>
      </c>
      <c r="E18" s="583">
        <v>11600</v>
      </c>
      <c r="F18" s="582">
        <v>1032400</v>
      </c>
      <c r="G18" s="583">
        <v>73419.565193351213</v>
      </c>
      <c r="H18" s="585">
        <v>73419.565193351213</v>
      </c>
      <c r="I18" s="473">
        <f>H18-G18</f>
        <v>0</v>
      </c>
      <c r="J18" s="473"/>
      <c r="K18" s="476">
        <f t="shared" si="0"/>
        <v>73419.565193351213</v>
      </c>
      <c r="L18" s="476">
        <f t="shared" si="1"/>
        <v>0</v>
      </c>
      <c r="M18" s="476">
        <f t="shared" si="2"/>
        <v>73419.565193351213</v>
      </c>
      <c r="N18" s="476">
        <f t="shared" si="3"/>
        <v>0</v>
      </c>
      <c r="O18" s="476">
        <f t="shared" si="4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2020</v>
      </c>
      <c r="D19" s="582">
        <v>267280</v>
      </c>
      <c r="E19" s="583">
        <v>7192.3809523809523</v>
      </c>
      <c r="F19" s="582">
        <v>260087.61904761905</v>
      </c>
      <c r="G19" s="583">
        <v>35671.491974766584</v>
      </c>
      <c r="H19" s="585">
        <v>35671.491974766584</v>
      </c>
      <c r="I19" s="473">
        <f t="shared" ref="I19:I71" si="5">H19-G19</f>
        <v>0</v>
      </c>
      <c r="J19" s="473"/>
      <c r="K19" s="476">
        <f t="shared" si="0"/>
        <v>35671.491974766584</v>
      </c>
      <c r="L19" s="476">
        <f t="shared" ref="L19" si="6">IF(K19&lt;&gt;0,+G19-K19,0)</f>
        <v>0</v>
      </c>
      <c r="M19" s="476">
        <f t="shared" si="2"/>
        <v>35671.491974766584</v>
      </c>
      <c r="N19" s="476">
        <f t="shared" si="3"/>
        <v>0</v>
      </c>
      <c r="O19" s="476">
        <f t="shared" si="4"/>
        <v>0</v>
      </c>
      <c r="P19" s="241"/>
    </row>
    <row r="20" spans="2:16" ht="12.5">
      <c r="B20" s="160" t="str">
        <f t="shared" ref="B20:B72" si="7">IF(D20=F19,"","IU")</f>
        <v>IU</v>
      </c>
      <c r="C20" s="470">
        <f>IF(D11="","-",+C19+1)</f>
        <v>2021</v>
      </c>
      <c r="D20" s="582">
        <v>258467.61904761905</v>
      </c>
      <c r="E20" s="583">
        <v>6717.6744186046508</v>
      </c>
      <c r="F20" s="582">
        <v>251749.94462901441</v>
      </c>
      <c r="G20" s="583">
        <v>34223.924690152948</v>
      </c>
      <c r="H20" s="585">
        <v>34223.924690152948</v>
      </c>
      <c r="I20" s="473">
        <f t="shared" si="5"/>
        <v>0</v>
      </c>
      <c r="J20" s="473"/>
      <c r="K20" s="476">
        <f t="shared" si="0"/>
        <v>34223.924690152948</v>
      </c>
      <c r="L20" s="476">
        <f t="shared" ref="L20" si="8">IF(K20&lt;&gt;0,+G20-K20,0)</f>
        <v>0</v>
      </c>
      <c r="M20" s="476">
        <f t="shared" si="2"/>
        <v>34223.924690152948</v>
      </c>
      <c r="N20" s="476">
        <f t="shared" si="3"/>
        <v>0</v>
      </c>
      <c r="O20" s="476">
        <f t="shared" si="4"/>
        <v>0</v>
      </c>
      <c r="P20" s="241"/>
    </row>
    <row r="21" spans="2:16" ht="12.5">
      <c r="B21" s="160" t="str">
        <f t="shared" si="7"/>
        <v/>
      </c>
      <c r="C21" s="470">
        <f>IF(D11="","-",+C20+1)</f>
        <v>2022</v>
      </c>
      <c r="D21" s="582">
        <v>251749.94462901441</v>
      </c>
      <c r="E21" s="583">
        <v>6877.6190476190477</v>
      </c>
      <c r="F21" s="582">
        <v>244872.32558139536</v>
      </c>
      <c r="G21" s="583">
        <v>33648.35187112401</v>
      </c>
      <c r="H21" s="585">
        <v>33648.35187112401</v>
      </c>
      <c r="I21" s="473">
        <f t="shared" si="5"/>
        <v>0</v>
      </c>
      <c r="J21" s="473"/>
      <c r="K21" s="476">
        <f t="shared" si="0"/>
        <v>33648.35187112401</v>
      </c>
      <c r="L21" s="476">
        <f t="shared" ref="L21" si="9">IF(K21&lt;&gt;0,+G21-K21,0)</f>
        <v>0</v>
      </c>
      <c r="M21" s="476">
        <f t="shared" si="2"/>
        <v>33648.35187112401</v>
      </c>
      <c r="N21" s="476">
        <f t="shared" si="3"/>
        <v>0</v>
      </c>
      <c r="O21" s="476">
        <f t="shared" si="4"/>
        <v>0</v>
      </c>
      <c r="P21" s="241"/>
    </row>
    <row r="22" spans="2:16" ht="12.5">
      <c r="B22" s="160" t="str">
        <f t="shared" si="7"/>
        <v>IU</v>
      </c>
      <c r="C22" s="470">
        <f>IF(D11="","-",+C21+1)</f>
        <v>2023</v>
      </c>
      <c r="D22" s="582">
        <v>244871.92558139539</v>
      </c>
      <c r="E22" s="583">
        <v>7406.6564102564107</v>
      </c>
      <c r="F22" s="582">
        <v>237465.26917113899</v>
      </c>
      <c r="G22" s="583">
        <v>36192.287124459006</v>
      </c>
      <c r="H22" s="585">
        <v>36192.287124459006</v>
      </c>
      <c r="I22" s="473">
        <f t="shared" si="5"/>
        <v>0</v>
      </c>
      <c r="J22" s="473"/>
      <c r="K22" s="476">
        <f t="shared" si="0"/>
        <v>36192.287124459006</v>
      </c>
      <c r="L22" s="476">
        <f t="shared" ref="L22" si="10">IF(K22&lt;&gt;0,+G22-K22,0)</f>
        <v>0</v>
      </c>
      <c r="M22" s="476">
        <f t="shared" si="2"/>
        <v>36192.287124459006</v>
      </c>
      <c r="N22" s="476">
        <f t="shared" ref="N22" si="11">IF(M22&lt;&gt;0,+H22-M22,0)</f>
        <v>0</v>
      </c>
      <c r="O22" s="476">
        <f t="shared" ref="O22" si="12">+N22-L22</f>
        <v>0</v>
      </c>
      <c r="P22" s="241"/>
    </row>
    <row r="23" spans="2:16" ht="12.5">
      <c r="B23" s="160" t="str">
        <f t="shared" si="7"/>
        <v/>
      </c>
      <c r="C23" s="470">
        <f>IF(D11="","-",+C22+1)</f>
        <v>2024</v>
      </c>
      <c r="D23" s="481">
        <f>IF(F22+SUM(E$17:E22)=D$10,F22,D$10-SUM(E$17:E22))</f>
        <v>237465.26917113899</v>
      </c>
      <c r="E23" s="482">
        <f t="shared" ref="E23:E71" si="13">IF(+I$14&lt;F22,I$14,D23)</f>
        <v>7406.6564102564107</v>
      </c>
      <c r="F23" s="483">
        <f t="shared" ref="F23:F71" si="14">+D23-E23</f>
        <v>230058.61276088259</v>
      </c>
      <c r="G23" s="484">
        <f t="shared" ref="G23:G71" si="15">(D23+F23)/2*I$12+E23</f>
        <v>35308.23638745537</v>
      </c>
      <c r="H23" s="453">
        <f t="shared" ref="H23:H71" si="16">+(D23+F23)/2*I$13+E23</f>
        <v>35308.23638745537</v>
      </c>
      <c r="I23" s="473">
        <f t="shared" si="5"/>
        <v>0</v>
      </c>
      <c r="J23" s="473"/>
      <c r="K23" s="485"/>
      <c r="L23" s="476">
        <f t="shared" si="1"/>
        <v>0</v>
      </c>
      <c r="M23" s="485"/>
      <c r="N23" s="476">
        <f t="shared" si="3"/>
        <v>0</v>
      </c>
      <c r="O23" s="476">
        <f t="shared" si="4"/>
        <v>0</v>
      </c>
      <c r="P23" s="241"/>
    </row>
    <row r="24" spans="2:16" ht="12.5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230058.61276088259</v>
      </c>
      <c r="E24" s="482">
        <f t="shared" si="13"/>
        <v>7406.6564102564107</v>
      </c>
      <c r="F24" s="483">
        <f t="shared" si="14"/>
        <v>222651.95635062619</v>
      </c>
      <c r="G24" s="484">
        <f t="shared" si="15"/>
        <v>34424.185650451735</v>
      </c>
      <c r="H24" s="453">
        <f t="shared" si="16"/>
        <v>34424.185650451735</v>
      </c>
      <c r="I24" s="473">
        <f t="shared" si="5"/>
        <v>0</v>
      </c>
      <c r="J24" s="473"/>
      <c r="K24" s="485"/>
      <c r="L24" s="476">
        <f t="shared" si="1"/>
        <v>0</v>
      </c>
      <c r="M24" s="485"/>
      <c r="N24" s="476">
        <f t="shared" si="3"/>
        <v>0</v>
      </c>
      <c r="O24" s="476">
        <f t="shared" si="4"/>
        <v>0</v>
      </c>
      <c r="P24" s="241"/>
    </row>
    <row r="25" spans="2:16" ht="12.5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222651.95635062619</v>
      </c>
      <c r="E25" s="482">
        <f t="shared" si="13"/>
        <v>7406.6564102564107</v>
      </c>
      <c r="F25" s="483">
        <f t="shared" si="14"/>
        <v>215245.29994036979</v>
      </c>
      <c r="G25" s="484">
        <f t="shared" si="15"/>
        <v>33540.134913448092</v>
      </c>
      <c r="H25" s="453">
        <f t="shared" si="16"/>
        <v>33540.134913448092</v>
      </c>
      <c r="I25" s="473">
        <f t="shared" si="5"/>
        <v>0</v>
      </c>
      <c r="J25" s="473"/>
      <c r="K25" s="485"/>
      <c r="L25" s="476">
        <f t="shared" si="1"/>
        <v>0</v>
      </c>
      <c r="M25" s="485"/>
      <c r="N25" s="476">
        <f t="shared" si="3"/>
        <v>0</v>
      </c>
      <c r="O25" s="476">
        <f t="shared" si="4"/>
        <v>0</v>
      </c>
      <c r="P25" s="241"/>
    </row>
    <row r="26" spans="2:16" ht="12.5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215245.29994036979</v>
      </c>
      <c r="E26" s="482">
        <f t="shared" si="13"/>
        <v>7406.6564102564107</v>
      </c>
      <c r="F26" s="483">
        <f t="shared" si="14"/>
        <v>207838.64353011339</v>
      </c>
      <c r="G26" s="484">
        <f t="shared" si="15"/>
        <v>32656.084176444459</v>
      </c>
      <c r="H26" s="453">
        <f t="shared" si="16"/>
        <v>32656.084176444459</v>
      </c>
      <c r="I26" s="473">
        <f t="shared" si="5"/>
        <v>0</v>
      </c>
      <c r="J26" s="473"/>
      <c r="K26" s="485"/>
      <c r="L26" s="476">
        <f t="shared" si="1"/>
        <v>0</v>
      </c>
      <c r="M26" s="485"/>
      <c r="N26" s="476">
        <f t="shared" si="3"/>
        <v>0</v>
      </c>
      <c r="O26" s="476">
        <f t="shared" si="4"/>
        <v>0</v>
      </c>
      <c r="P26" s="241"/>
    </row>
    <row r="27" spans="2:16" ht="12.5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207838.64353011339</v>
      </c>
      <c r="E27" s="482">
        <f t="shared" si="13"/>
        <v>7406.6564102564107</v>
      </c>
      <c r="F27" s="483">
        <f t="shared" si="14"/>
        <v>200431.98711985699</v>
      </c>
      <c r="G27" s="484">
        <f t="shared" si="15"/>
        <v>31772.033439440824</v>
      </c>
      <c r="H27" s="453">
        <f t="shared" si="16"/>
        <v>31772.033439440824</v>
      </c>
      <c r="I27" s="473">
        <f t="shared" si="5"/>
        <v>0</v>
      </c>
      <c r="J27" s="473"/>
      <c r="K27" s="485"/>
      <c r="L27" s="476">
        <f t="shared" si="1"/>
        <v>0</v>
      </c>
      <c r="M27" s="485"/>
      <c r="N27" s="476">
        <f t="shared" si="3"/>
        <v>0</v>
      </c>
      <c r="O27" s="476">
        <f t="shared" si="4"/>
        <v>0</v>
      </c>
      <c r="P27" s="241"/>
    </row>
    <row r="28" spans="2:16" ht="12.5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200431.98711985699</v>
      </c>
      <c r="E28" s="482">
        <f t="shared" si="13"/>
        <v>7406.6564102564107</v>
      </c>
      <c r="F28" s="483">
        <f t="shared" si="14"/>
        <v>193025.33070960059</v>
      </c>
      <c r="G28" s="484">
        <f t="shared" si="15"/>
        <v>30887.982702437188</v>
      </c>
      <c r="H28" s="453">
        <f t="shared" si="16"/>
        <v>30887.982702437188</v>
      </c>
      <c r="I28" s="473">
        <f t="shared" si="5"/>
        <v>0</v>
      </c>
      <c r="J28" s="473"/>
      <c r="K28" s="485"/>
      <c r="L28" s="476">
        <f t="shared" si="1"/>
        <v>0</v>
      </c>
      <c r="M28" s="485"/>
      <c r="N28" s="476">
        <f t="shared" si="3"/>
        <v>0</v>
      </c>
      <c r="O28" s="476">
        <f t="shared" si="4"/>
        <v>0</v>
      </c>
      <c r="P28" s="241"/>
    </row>
    <row r="29" spans="2:16" ht="12.5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193025.33070960059</v>
      </c>
      <c r="E29" s="482">
        <f t="shared" si="13"/>
        <v>7406.6564102564107</v>
      </c>
      <c r="F29" s="483">
        <f t="shared" si="14"/>
        <v>185618.67429934419</v>
      </c>
      <c r="G29" s="484">
        <f t="shared" si="15"/>
        <v>30003.931965433552</v>
      </c>
      <c r="H29" s="453">
        <f t="shared" si="16"/>
        <v>30003.931965433552</v>
      </c>
      <c r="I29" s="473">
        <f t="shared" si="5"/>
        <v>0</v>
      </c>
      <c r="J29" s="473"/>
      <c r="K29" s="485"/>
      <c r="L29" s="476">
        <f t="shared" si="1"/>
        <v>0</v>
      </c>
      <c r="M29" s="485"/>
      <c r="N29" s="476">
        <f t="shared" si="3"/>
        <v>0</v>
      </c>
      <c r="O29" s="476">
        <f t="shared" si="4"/>
        <v>0</v>
      </c>
      <c r="P29" s="241"/>
    </row>
    <row r="30" spans="2:16" ht="12.5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185618.67429934419</v>
      </c>
      <c r="E30" s="482">
        <f t="shared" si="13"/>
        <v>7406.6564102564107</v>
      </c>
      <c r="F30" s="483">
        <f t="shared" si="14"/>
        <v>178212.01788908779</v>
      </c>
      <c r="G30" s="484">
        <f t="shared" si="15"/>
        <v>29119.881228429917</v>
      </c>
      <c r="H30" s="453">
        <f t="shared" si="16"/>
        <v>29119.881228429917</v>
      </c>
      <c r="I30" s="473">
        <f t="shared" si="5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 ht="12.5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178212.01788908779</v>
      </c>
      <c r="E31" s="482">
        <f t="shared" si="13"/>
        <v>7406.6564102564107</v>
      </c>
      <c r="F31" s="483">
        <f t="shared" si="14"/>
        <v>170805.36147883139</v>
      </c>
      <c r="G31" s="484">
        <f t="shared" si="15"/>
        <v>28235.830491426281</v>
      </c>
      <c r="H31" s="453">
        <f t="shared" si="16"/>
        <v>28235.830491426281</v>
      </c>
      <c r="I31" s="473">
        <f t="shared" si="5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 ht="12.5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170805.36147883139</v>
      </c>
      <c r="E32" s="482">
        <f t="shared" si="13"/>
        <v>7406.6564102564107</v>
      </c>
      <c r="F32" s="483">
        <f t="shared" si="14"/>
        <v>163398.70506857499</v>
      </c>
      <c r="G32" s="484">
        <f t="shared" si="15"/>
        <v>27351.779754422645</v>
      </c>
      <c r="H32" s="453">
        <f t="shared" si="16"/>
        <v>27351.779754422645</v>
      </c>
      <c r="I32" s="473">
        <f t="shared" si="5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 ht="12.5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163398.70506857499</v>
      </c>
      <c r="E33" s="482">
        <f t="shared" si="13"/>
        <v>7406.6564102564107</v>
      </c>
      <c r="F33" s="483">
        <f t="shared" si="14"/>
        <v>155992.04865831858</v>
      </c>
      <c r="G33" s="484">
        <f t="shared" si="15"/>
        <v>26467.729017419009</v>
      </c>
      <c r="H33" s="453">
        <f t="shared" si="16"/>
        <v>26467.729017419009</v>
      </c>
      <c r="I33" s="473">
        <f t="shared" si="5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 ht="12.5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155992.04865831858</v>
      </c>
      <c r="E34" s="482">
        <f t="shared" si="13"/>
        <v>7406.6564102564107</v>
      </c>
      <c r="F34" s="483">
        <f t="shared" si="14"/>
        <v>148585.39224806218</v>
      </c>
      <c r="G34" s="484">
        <f t="shared" si="15"/>
        <v>25583.678280415374</v>
      </c>
      <c r="H34" s="453">
        <f t="shared" si="16"/>
        <v>25583.678280415374</v>
      </c>
      <c r="I34" s="473">
        <f t="shared" si="5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 ht="12.5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148585.39224806218</v>
      </c>
      <c r="E35" s="482">
        <f t="shared" si="13"/>
        <v>7406.6564102564107</v>
      </c>
      <c r="F35" s="483">
        <f t="shared" si="14"/>
        <v>141178.73583780578</v>
      </c>
      <c r="G35" s="484">
        <f t="shared" si="15"/>
        <v>24699.627543411738</v>
      </c>
      <c r="H35" s="453">
        <f t="shared" si="16"/>
        <v>24699.627543411738</v>
      </c>
      <c r="I35" s="473">
        <f t="shared" si="5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 ht="12.5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141178.73583780578</v>
      </c>
      <c r="E36" s="482">
        <f t="shared" si="13"/>
        <v>7406.6564102564107</v>
      </c>
      <c r="F36" s="483">
        <f t="shared" si="14"/>
        <v>133772.07942754938</v>
      </c>
      <c r="G36" s="484">
        <f t="shared" si="15"/>
        <v>23815.576806408102</v>
      </c>
      <c r="H36" s="453">
        <f t="shared" si="16"/>
        <v>23815.576806408102</v>
      </c>
      <c r="I36" s="473">
        <f t="shared" si="5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 ht="12.5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133772.07942754938</v>
      </c>
      <c r="E37" s="482">
        <f t="shared" si="13"/>
        <v>7406.6564102564107</v>
      </c>
      <c r="F37" s="483">
        <f t="shared" si="14"/>
        <v>126365.42301729297</v>
      </c>
      <c r="G37" s="484">
        <f t="shared" si="15"/>
        <v>22931.526069404463</v>
      </c>
      <c r="H37" s="453">
        <f t="shared" si="16"/>
        <v>22931.526069404463</v>
      </c>
      <c r="I37" s="473">
        <f t="shared" si="5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 ht="12.5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126365.42301729297</v>
      </c>
      <c r="E38" s="482">
        <f t="shared" si="13"/>
        <v>7406.6564102564107</v>
      </c>
      <c r="F38" s="483">
        <f t="shared" si="14"/>
        <v>118958.76660703655</v>
      </c>
      <c r="G38" s="484">
        <f t="shared" si="15"/>
        <v>22047.475332400823</v>
      </c>
      <c r="H38" s="453">
        <f t="shared" si="16"/>
        <v>22047.475332400823</v>
      </c>
      <c r="I38" s="473">
        <f t="shared" si="5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 ht="12.5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118958.76660703655</v>
      </c>
      <c r="E39" s="482">
        <f t="shared" si="13"/>
        <v>7406.6564102564107</v>
      </c>
      <c r="F39" s="483">
        <f t="shared" si="14"/>
        <v>111552.11019678014</v>
      </c>
      <c r="G39" s="484">
        <f t="shared" si="15"/>
        <v>21163.424595397188</v>
      </c>
      <c r="H39" s="453">
        <f t="shared" si="16"/>
        <v>21163.424595397188</v>
      </c>
      <c r="I39" s="473">
        <f t="shared" si="5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 ht="12.5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111552.11019678014</v>
      </c>
      <c r="E40" s="482">
        <f t="shared" si="13"/>
        <v>7406.6564102564107</v>
      </c>
      <c r="F40" s="483">
        <f t="shared" si="14"/>
        <v>104145.45378652372</v>
      </c>
      <c r="G40" s="484">
        <f t="shared" si="15"/>
        <v>20279.373858393548</v>
      </c>
      <c r="H40" s="453">
        <f t="shared" si="16"/>
        <v>20279.373858393548</v>
      </c>
      <c r="I40" s="473">
        <f t="shared" si="5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 ht="12.5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104145.45378652372</v>
      </c>
      <c r="E41" s="482">
        <f t="shared" si="13"/>
        <v>7406.6564102564107</v>
      </c>
      <c r="F41" s="483">
        <f t="shared" si="14"/>
        <v>96738.797376267306</v>
      </c>
      <c r="G41" s="484">
        <f t="shared" si="15"/>
        <v>19395.323121389913</v>
      </c>
      <c r="H41" s="453">
        <f t="shared" si="16"/>
        <v>19395.323121389913</v>
      </c>
      <c r="I41" s="473">
        <f t="shared" si="5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 ht="12.5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96738.797376267306</v>
      </c>
      <c r="E42" s="482">
        <f t="shared" si="13"/>
        <v>7406.6564102564107</v>
      </c>
      <c r="F42" s="483">
        <f t="shared" si="14"/>
        <v>89332.140966010891</v>
      </c>
      <c r="G42" s="484">
        <f t="shared" si="15"/>
        <v>18511.272384386273</v>
      </c>
      <c r="H42" s="453">
        <f t="shared" si="16"/>
        <v>18511.272384386273</v>
      </c>
      <c r="I42" s="473">
        <f t="shared" si="5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 ht="12.5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89332.140966010891</v>
      </c>
      <c r="E43" s="482">
        <f t="shared" si="13"/>
        <v>7406.6564102564107</v>
      </c>
      <c r="F43" s="483">
        <f t="shared" si="14"/>
        <v>81925.484555754476</v>
      </c>
      <c r="G43" s="484">
        <f t="shared" si="15"/>
        <v>17627.221647382637</v>
      </c>
      <c r="H43" s="453">
        <f t="shared" si="16"/>
        <v>17627.221647382637</v>
      </c>
      <c r="I43" s="473">
        <f t="shared" si="5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 ht="12.5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81925.484555754476</v>
      </c>
      <c r="E44" s="482">
        <f t="shared" si="13"/>
        <v>7406.6564102564107</v>
      </c>
      <c r="F44" s="483">
        <f t="shared" si="14"/>
        <v>74518.828145498061</v>
      </c>
      <c r="G44" s="484">
        <f t="shared" si="15"/>
        <v>16743.170910378998</v>
      </c>
      <c r="H44" s="453">
        <f t="shared" si="16"/>
        <v>16743.170910378998</v>
      </c>
      <c r="I44" s="473">
        <f t="shared" si="5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 ht="12.5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74518.828145498061</v>
      </c>
      <c r="E45" s="482">
        <f t="shared" si="13"/>
        <v>7406.6564102564107</v>
      </c>
      <c r="F45" s="483">
        <f t="shared" si="14"/>
        <v>67112.171735241645</v>
      </c>
      <c r="G45" s="484">
        <f t="shared" si="15"/>
        <v>15859.120173375362</v>
      </c>
      <c r="H45" s="453">
        <f t="shared" si="16"/>
        <v>15859.120173375362</v>
      </c>
      <c r="I45" s="473">
        <f t="shared" si="5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 ht="12.5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67112.171735241645</v>
      </c>
      <c r="E46" s="482">
        <f t="shared" si="13"/>
        <v>7406.6564102564107</v>
      </c>
      <c r="F46" s="483">
        <f t="shared" si="14"/>
        <v>59705.515324985237</v>
      </c>
      <c r="G46" s="484">
        <f t="shared" si="15"/>
        <v>14975.069436371723</v>
      </c>
      <c r="H46" s="453">
        <f t="shared" si="16"/>
        <v>14975.069436371723</v>
      </c>
      <c r="I46" s="473">
        <f t="shared" si="5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 ht="12.5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59705.515324985237</v>
      </c>
      <c r="E47" s="482">
        <f t="shared" si="13"/>
        <v>7406.6564102564107</v>
      </c>
      <c r="F47" s="483">
        <f t="shared" si="14"/>
        <v>52298.858914728829</v>
      </c>
      <c r="G47" s="484">
        <f t="shared" si="15"/>
        <v>14091.018699368087</v>
      </c>
      <c r="H47" s="453">
        <f t="shared" si="16"/>
        <v>14091.018699368087</v>
      </c>
      <c r="I47" s="473">
        <f t="shared" si="5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 ht="12.5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52298.858914728829</v>
      </c>
      <c r="E48" s="482">
        <f t="shared" si="13"/>
        <v>7406.6564102564107</v>
      </c>
      <c r="F48" s="483">
        <f t="shared" si="14"/>
        <v>44892.202504472421</v>
      </c>
      <c r="G48" s="484">
        <f t="shared" si="15"/>
        <v>13206.967962364452</v>
      </c>
      <c r="H48" s="453">
        <f t="shared" si="16"/>
        <v>13206.967962364452</v>
      </c>
      <c r="I48" s="473">
        <f t="shared" si="5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 ht="12.5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44892.202504472421</v>
      </c>
      <c r="E49" s="482">
        <f t="shared" si="13"/>
        <v>7406.6564102564107</v>
      </c>
      <c r="F49" s="483">
        <f t="shared" si="14"/>
        <v>37485.546094216013</v>
      </c>
      <c r="G49" s="484">
        <f t="shared" si="15"/>
        <v>12322.917225360812</v>
      </c>
      <c r="H49" s="453">
        <f t="shared" si="16"/>
        <v>12322.917225360812</v>
      </c>
      <c r="I49" s="473">
        <f t="shared" si="5"/>
        <v>0</v>
      </c>
      <c r="J49" s="473"/>
      <c r="K49" s="485"/>
      <c r="L49" s="476">
        <f t="shared" si="1"/>
        <v>0</v>
      </c>
      <c r="M49" s="485"/>
      <c r="N49" s="476">
        <f t="shared" si="3"/>
        <v>0</v>
      </c>
      <c r="O49" s="476">
        <f t="shared" si="4"/>
        <v>0</v>
      </c>
      <c r="P49" s="241"/>
    </row>
    <row r="50" spans="2:16" ht="12.5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37485.546094216013</v>
      </c>
      <c r="E50" s="482">
        <f t="shared" si="13"/>
        <v>7406.6564102564107</v>
      </c>
      <c r="F50" s="483">
        <f t="shared" si="14"/>
        <v>30078.889683959602</v>
      </c>
      <c r="G50" s="484">
        <f t="shared" si="15"/>
        <v>11438.866488357176</v>
      </c>
      <c r="H50" s="453">
        <f t="shared" si="16"/>
        <v>11438.866488357176</v>
      </c>
      <c r="I50" s="473">
        <f t="shared" si="5"/>
        <v>0</v>
      </c>
      <c r="J50" s="473"/>
      <c r="K50" s="485"/>
      <c r="L50" s="476">
        <f t="shared" si="1"/>
        <v>0</v>
      </c>
      <c r="M50" s="485"/>
      <c r="N50" s="476">
        <f t="shared" si="3"/>
        <v>0</v>
      </c>
      <c r="O50" s="476">
        <f t="shared" si="4"/>
        <v>0</v>
      </c>
      <c r="P50" s="241"/>
    </row>
    <row r="51" spans="2:16" ht="12.5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30078.889683959602</v>
      </c>
      <c r="E51" s="482">
        <f t="shared" si="13"/>
        <v>7406.6564102564107</v>
      </c>
      <c r="F51" s="483">
        <f t="shared" si="14"/>
        <v>22672.23327370319</v>
      </c>
      <c r="G51" s="484">
        <f t="shared" si="15"/>
        <v>10554.815751353539</v>
      </c>
      <c r="H51" s="453">
        <f t="shared" si="16"/>
        <v>10554.815751353539</v>
      </c>
      <c r="I51" s="473">
        <f t="shared" si="5"/>
        <v>0</v>
      </c>
      <c r="J51" s="473"/>
      <c r="K51" s="485"/>
      <c r="L51" s="476">
        <f t="shared" si="1"/>
        <v>0</v>
      </c>
      <c r="M51" s="485"/>
      <c r="N51" s="476">
        <f t="shared" si="3"/>
        <v>0</v>
      </c>
      <c r="O51" s="476">
        <f t="shared" si="4"/>
        <v>0</v>
      </c>
      <c r="P51" s="241"/>
    </row>
    <row r="52" spans="2:16" ht="12.5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22672.23327370319</v>
      </c>
      <c r="E52" s="482">
        <f t="shared" si="13"/>
        <v>7406.6564102564107</v>
      </c>
      <c r="F52" s="483">
        <f t="shared" si="14"/>
        <v>15265.576863446779</v>
      </c>
      <c r="G52" s="484">
        <f t="shared" si="15"/>
        <v>9670.7650143499013</v>
      </c>
      <c r="H52" s="453">
        <f t="shared" si="16"/>
        <v>9670.7650143499013</v>
      </c>
      <c r="I52" s="473">
        <f t="shared" si="5"/>
        <v>0</v>
      </c>
      <c r="J52" s="473"/>
      <c r="K52" s="485"/>
      <c r="L52" s="476">
        <f t="shared" si="1"/>
        <v>0</v>
      </c>
      <c r="M52" s="485"/>
      <c r="N52" s="476">
        <f t="shared" si="3"/>
        <v>0</v>
      </c>
      <c r="O52" s="476">
        <f t="shared" si="4"/>
        <v>0</v>
      </c>
      <c r="P52" s="241"/>
    </row>
    <row r="53" spans="2:16" ht="12.5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15265.576863446779</v>
      </c>
      <c r="E53" s="482">
        <f t="shared" si="13"/>
        <v>7406.6564102564107</v>
      </c>
      <c r="F53" s="483">
        <f t="shared" si="14"/>
        <v>7858.9204531903679</v>
      </c>
      <c r="G53" s="484">
        <f t="shared" si="15"/>
        <v>8786.7142773462638</v>
      </c>
      <c r="H53" s="453">
        <f t="shared" si="16"/>
        <v>8786.7142773462638</v>
      </c>
      <c r="I53" s="473">
        <f t="shared" si="5"/>
        <v>0</v>
      </c>
      <c r="J53" s="473"/>
      <c r="K53" s="485"/>
      <c r="L53" s="476">
        <f t="shared" si="1"/>
        <v>0</v>
      </c>
      <c r="M53" s="485"/>
      <c r="N53" s="476">
        <f t="shared" si="3"/>
        <v>0</v>
      </c>
      <c r="O53" s="476">
        <f t="shared" si="4"/>
        <v>0</v>
      </c>
      <c r="P53" s="241"/>
    </row>
    <row r="54" spans="2:16" ht="12.5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7858.9204531903679</v>
      </c>
      <c r="E54" s="482">
        <f t="shared" si="13"/>
        <v>7406.6564102564107</v>
      </c>
      <c r="F54" s="483">
        <f t="shared" si="14"/>
        <v>452.26404293395717</v>
      </c>
      <c r="G54" s="484">
        <f t="shared" si="15"/>
        <v>7902.6635403426262</v>
      </c>
      <c r="H54" s="453">
        <f t="shared" si="16"/>
        <v>7902.6635403426262</v>
      </c>
      <c r="I54" s="473">
        <f t="shared" si="5"/>
        <v>0</v>
      </c>
      <c r="J54" s="473"/>
      <c r="K54" s="485"/>
      <c r="L54" s="476">
        <f t="shared" si="1"/>
        <v>0</v>
      </c>
      <c r="M54" s="485"/>
      <c r="N54" s="476">
        <f t="shared" si="3"/>
        <v>0</v>
      </c>
      <c r="O54" s="476">
        <f t="shared" si="4"/>
        <v>0</v>
      </c>
      <c r="P54" s="241"/>
    </row>
    <row r="55" spans="2:16" ht="12.5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452.26404293395717</v>
      </c>
      <c r="E55" s="482">
        <f t="shared" si="13"/>
        <v>452.26404293395717</v>
      </c>
      <c r="F55" s="483">
        <f t="shared" si="14"/>
        <v>0</v>
      </c>
      <c r="G55" s="484">
        <f t="shared" si="15"/>
        <v>479.25492372615582</v>
      </c>
      <c r="H55" s="453">
        <f t="shared" si="16"/>
        <v>479.25492372615582</v>
      </c>
      <c r="I55" s="473">
        <f t="shared" si="5"/>
        <v>0</v>
      </c>
      <c r="J55" s="473"/>
      <c r="K55" s="485"/>
      <c r="L55" s="476">
        <f t="shared" si="1"/>
        <v>0</v>
      </c>
      <c r="M55" s="485"/>
      <c r="N55" s="476">
        <f t="shared" si="3"/>
        <v>0</v>
      </c>
      <c r="O55" s="476">
        <f t="shared" si="4"/>
        <v>0</v>
      </c>
      <c r="P55" s="241"/>
    </row>
    <row r="56" spans="2:16" ht="12.5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0</v>
      </c>
      <c r="E56" s="482">
        <f t="shared" si="13"/>
        <v>0</v>
      </c>
      <c r="F56" s="483">
        <f t="shared" si="14"/>
        <v>0</v>
      </c>
      <c r="G56" s="484">
        <f t="shared" si="15"/>
        <v>0</v>
      </c>
      <c r="H56" s="453">
        <f t="shared" si="16"/>
        <v>0</v>
      </c>
      <c r="I56" s="473">
        <f t="shared" si="5"/>
        <v>0</v>
      </c>
      <c r="J56" s="473"/>
      <c r="K56" s="485"/>
      <c r="L56" s="476">
        <f t="shared" si="1"/>
        <v>0</v>
      </c>
      <c r="M56" s="485"/>
      <c r="N56" s="476">
        <f t="shared" si="3"/>
        <v>0</v>
      </c>
      <c r="O56" s="476">
        <f t="shared" si="4"/>
        <v>0</v>
      </c>
      <c r="P56" s="241"/>
    </row>
    <row r="57" spans="2:16" ht="12.5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3"/>
        <v>0</v>
      </c>
      <c r="F57" s="483">
        <f t="shared" si="14"/>
        <v>0</v>
      </c>
      <c r="G57" s="484">
        <f t="shared" si="15"/>
        <v>0</v>
      </c>
      <c r="H57" s="453">
        <f t="shared" si="16"/>
        <v>0</v>
      </c>
      <c r="I57" s="473">
        <f t="shared" si="5"/>
        <v>0</v>
      </c>
      <c r="J57" s="473"/>
      <c r="K57" s="485"/>
      <c r="L57" s="476">
        <f t="shared" si="1"/>
        <v>0</v>
      </c>
      <c r="M57" s="485"/>
      <c r="N57" s="476">
        <f t="shared" si="3"/>
        <v>0</v>
      </c>
      <c r="O57" s="476">
        <f t="shared" si="4"/>
        <v>0</v>
      </c>
      <c r="P57" s="241"/>
    </row>
    <row r="58" spans="2:16" ht="12.5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3"/>
        <v>0</v>
      </c>
      <c r="F58" s="483">
        <f t="shared" si="14"/>
        <v>0</v>
      </c>
      <c r="G58" s="484">
        <f t="shared" si="15"/>
        <v>0</v>
      </c>
      <c r="H58" s="453">
        <f t="shared" si="16"/>
        <v>0</v>
      </c>
      <c r="I58" s="473">
        <f t="shared" si="5"/>
        <v>0</v>
      </c>
      <c r="J58" s="473"/>
      <c r="K58" s="485"/>
      <c r="L58" s="476">
        <f t="shared" si="1"/>
        <v>0</v>
      </c>
      <c r="M58" s="485"/>
      <c r="N58" s="476">
        <f t="shared" si="3"/>
        <v>0</v>
      </c>
      <c r="O58" s="476">
        <f t="shared" si="4"/>
        <v>0</v>
      </c>
      <c r="P58" s="241"/>
    </row>
    <row r="59" spans="2:16" ht="12.5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3"/>
        <v>0</v>
      </c>
      <c r="F59" s="483">
        <f t="shared" si="14"/>
        <v>0</v>
      </c>
      <c r="G59" s="484">
        <f t="shared" si="15"/>
        <v>0</v>
      </c>
      <c r="H59" s="453">
        <f t="shared" si="16"/>
        <v>0</v>
      </c>
      <c r="I59" s="473">
        <f t="shared" si="5"/>
        <v>0</v>
      </c>
      <c r="J59" s="473"/>
      <c r="K59" s="485"/>
      <c r="L59" s="476">
        <f t="shared" si="1"/>
        <v>0</v>
      </c>
      <c r="M59" s="485"/>
      <c r="N59" s="476">
        <f t="shared" si="3"/>
        <v>0</v>
      </c>
      <c r="O59" s="476">
        <f t="shared" si="4"/>
        <v>0</v>
      </c>
      <c r="P59" s="241"/>
    </row>
    <row r="60" spans="2:16" ht="12.5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3"/>
        <v>0</v>
      </c>
      <c r="F60" s="483">
        <f t="shared" si="14"/>
        <v>0</v>
      </c>
      <c r="G60" s="484">
        <f t="shared" si="15"/>
        <v>0</v>
      </c>
      <c r="H60" s="453">
        <f t="shared" si="16"/>
        <v>0</v>
      </c>
      <c r="I60" s="473">
        <f t="shared" si="5"/>
        <v>0</v>
      </c>
      <c r="J60" s="473"/>
      <c r="K60" s="485"/>
      <c r="L60" s="476">
        <f t="shared" si="1"/>
        <v>0</v>
      </c>
      <c r="M60" s="485"/>
      <c r="N60" s="476">
        <f t="shared" si="3"/>
        <v>0</v>
      </c>
      <c r="O60" s="476">
        <f t="shared" si="4"/>
        <v>0</v>
      </c>
      <c r="P60" s="241"/>
    </row>
    <row r="61" spans="2:16" ht="12.5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3"/>
        <v>0</v>
      </c>
      <c r="F61" s="483">
        <f t="shared" si="14"/>
        <v>0</v>
      </c>
      <c r="G61" s="484">
        <f t="shared" si="15"/>
        <v>0</v>
      </c>
      <c r="H61" s="453">
        <f t="shared" si="16"/>
        <v>0</v>
      </c>
      <c r="I61" s="473">
        <f t="shared" si="5"/>
        <v>0</v>
      </c>
      <c r="J61" s="473"/>
      <c r="K61" s="485"/>
      <c r="L61" s="476">
        <f t="shared" si="1"/>
        <v>0</v>
      </c>
      <c r="M61" s="485"/>
      <c r="N61" s="476">
        <f t="shared" si="3"/>
        <v>0</v>
      </c>
      <c r="O61" s="476">
        <f t="shared" si="4"/>
        <v>0</v>
      </c>
      <c r="P61" s="241"/>
    </row>
    <row r="62" spans="2:16" ht="12.5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3"/>
        <v>0</v>
      </c>
      <c r="F62" s="483">
        <f t="shared" si="14"/>
        <v>0</v>
      </c>
      <c r="G62" s="484">
        <f t="shared" si="15"/>
        <v>0</v>
      </c>
      <c r="H62" s="453">
        <f t="shared" si="16"/>
        <v>0</v>
      </c>
      <c r="I62" s="473">
        <f t="shared" si="5"/>
        <v>0</v>
      </c>
      <c r="J62" s="473"/>
      <c r="K62" s="485"/>
      <c r="L62" s="476">
        <f t="shared" si="1"/>
        <v>0</v>
      </c>
      <c r="M62" s="485"/>
      <c r="N62" s="476">
        <f t="shared" si="3"/>
        <v>0</v>
      </c>
      <c r="O62" s="476">
        <f t="shared" si="4"/>
        <v>0</v>
      </c>
      <c r="P62" s="241"/>
    </row>
    <row r="63" spans="2:16" ht="12.5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3"/>
        <v>0</v>
      </c>
      <c r="F63" s="483">
        <f t="shared" si="14"/>
        <v>0</v>
      </c>
      <c r="G63" s="484">
        <f t="shared" si="15"/>
        <v>0</v>
      </c>
      <c r="H63" s="453">
        <f t="shared" si="16"/>
        <v>0</v>
      </c>
      <c r="I63" s="473">
        <f t="shared" si="5"/>
        <v>0</v>
      </c>
      <c r="J63" s="473"/>
      <c r="K63" s="485"/>
      <c r="L63" s="476">
        <f t="shared" si="1"/>
        <v>0</v>
      </c>
      <c r="M63" s="485"/>
      <c r="N63" s="476">
        <f t="shared" si="3"/>
        <v>0</v>
      </c>
      <c r="O63" s="476">
        <f t="shared" si="4"/>
        <v>0</v>
      </c>
      <c r="P63" s="241"/>
    </row>
    <row r="64" spans="2:16" ht="12.5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3"/>
        <v>0</v>
      </c>
      <c r="F64" s="483">
        <f t="shared" si="14"/>
        <v>0</v>
      </c>
      <c r="G64" s="484">
        <f t="shared" si="15"/>
        <v>0</v>
      </c>
      <c r="H64" s="453">
        <f t="shared" si="16"/>
        <v>0</v>
      </c>
      <c r="I64" s="473">
        <f t="shared" si="5"/>
        <v>0</v>
      </c>
      <c r="J64" s="473"/>
      <c r="K64" s="485"/>
      <c r="L64" s="476">
        <f t="shared" si="1"/>
        <v>0</v>
      </c>
      <c r="M64" s="485"/>
      <c r="N64" s="476">
        <f t="shared" si="3"/>
        <v>0</v>
      </c>
      <c r="O64" s="476">
        <f t="shared" si="4"/>
        <v>0</v>
      </c>
      <c r="P64" s="241"/>
    </row>
    <row r="65" spans="2:16" ht="12.5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3"/>
        <v>0</v>
      </c>
      <c r="F65" s="483">
        <f t="shared" si="14"/>
        <v>0</v>
      </c>
      <c r="G65" s="484">
        <f t="shared" si="15"/>
        <v>0</v>
      </c>
      <c r="H65" s="453">
        <f t="shared" si="16"/>
        <v>0</v>
      </c>
      <c r="I65" s="473">
        <f t="shared" si="5"/>
        <v>0</v>
      </c>
      <c r="J65" s="473"/>
      <c r="K65" s="485"/>
      <c r="L65" s="476">
        <f t="shared" si="1"/>
        <v>0</v>
      </c>
      <c r="M65" s="485"/>
      <c r="N65" s="476">
        <f t="shared" si="3"/>
        <v>0</v>
      </c>
      <c r="O65" s="476">
        <f t="shared" si="4"/>
        <v>0</v>
      </c>
      <c r="P65" s="241"/>
    </row>
    <row r="66" spans="2:16" ht="12.5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3"/>
        <v>0</v>
      </c>
      <c r="F66" s="483">
        <f t="shared" si="14"/>
        <v>0</v>
      </c>
      <c r="G66" s="484">
        <f t="shared" si="15"/>
        <v>0</v>
      </c>
      <c r="H66" s="453">
        <f t="shared" si="16"/>
        <v>0</v>
      </c>
      <c r="I66" s="473">
        <f t="shared" si="5"/>
        <v>0</v>
      </c>
      <c r="J66" s="473"/>
      <c r="K66" s="485"/>
      <c r="L66" s="476">
        <f t="shared" si="1"/>
        <v>0</v>
      </c>
      <c r="M66" s="485"/>
      <c r="N66" s="476">
        <f t="shared" si="3"/>
        <v>0</v>
      </c>
      <c r="O66" s="476">
        <f t="shared" si="4"/>
        <v>0</v>
      </c>
      <c r="P66" s="241"/>
    </row>
    <row r="67" spans="2:16" ht="12.5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3"/>
        <v>0</v>
      </c>
      <c r="F67" s="483">
        <f t="shared" si="14"/>
        <v>0</v>
      </c>
      <c r="G67" s="484">
        <f t="shared" si="15"/>
        <v>0</v>
      </c>
      <c r="H67" s="453">
        <f t="shared" si="16"/>
        <v>0</v>
      </c>
      <c r="I67" s="473">
        <f t="shared" si="5"/>
        <v>0</v>
      </c>
      <c r="J67" s="473"/>
      <c r="K67" s="485"/>
      <c r="L67" s="476">
        <f t="shared" si="1"/>
        <v>0</v>
      </c>
      <c r="M67" s="485"/>
      <c r="N67" s="476">
        <f t="shared" si="3"/>
        <v>0</v>
      </c>
      <c r="O67" s="476">
        <f t="shared" si="4"/>
        <v>0</v>
      </c>
      <c r="P67" s="241"/>
    </row>
    <row r="68" spans="2:16" ht="12.5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3"/>
        <v>0</v>
      </c>
      <c r="F68" s="483">
        <f t="shared" si="14"/>
        <v>0</v>
      </c>
      <c r="G68" s="484">
        <f t="shared" si="15"/>
        <v>0</v>
      </c>
      <c r="H68" s="453">
        <f t="shared" si="16"/>
        <v>0</v>
      </c>
      <c r="I68" s="473">
        <f t="shared" si="5"/>
        <v>0</v>
      </c>
      <c r="J68" s="473"/>
      <c r="K68" s="485"/>
      <c r="L68" s="476">
        <f t="shared" si="1"/>
        <v>0</v>
      </c>
      <c r="M68" s="485"/>
      <c r="N68" s="476">
        <f t="shared" si="3"/>
        <v>0</v>
      </c>
      <c r="O68" s="476">
        <f t="shared" si="4"/>
        <v>0</v>
      </c>
      <c r="P68" s="241"/>
    </row>
    <row r="69" spans="2:16" ht="12.5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3"/>
        <v>0</v>
      </c>
      <c r="F69" s="483">
        <f t="shared" si="14"/>
        <v>0</v>
      </c>
      <c r="G69" s="484">
        <f t="shared" si="15"/>
        <v>0</v>
      </c>
      <c r="H69" s="453">
        <f t="shared" si="16"/>
        <v>0</v>
      </c>
      <c r="I69" s="473">
        <f t="shared" si="5"/>
        <v>0</v>
      </c>
      <c r="J69" s="473"/>
      <c r="K69" s="485"/>
      <c r="L69" s="476">
        <f t="shared" si="1"/>
        <v>0</v>
      </c>
      <c r="M69" s="485"/>
      <c r="N69" s="476">
        <f t="shared" si="3"/>
        <v>0</v>
      </c>
      <c r="O69" s="476">
        <f t="shared" si="4"/>
        <v>0</v>
      </c>
      <c r="P69" s="241"/>
    </row>
    <row r="70" spans="2:16" ht="12.5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3"/>
        <v>0</v>
      </c>
      <c r="F70" s="483">
        <f t="shared" si="14"/>
        <v>0</v>
      </c>
      <c r="G70" s="484">
        <f t="shared" si="15"/>
        <v>0</v>
      </c>
      <c r="H70" s="453">
        <f t="shared" si="16"/>
        <v>0</v>
      </c>
      <c r="I70" s="473">
        <f t="shared" si="5"/>
        <v>0</v>
      </c>
      <c r="J70" s="473"/>
      <c r="K70" s="485"/>
      <c r="L70" s="476">
        <f t="shared" si="1"/>
        <v>0</v>
      </c>
      <c r="M70" s="485"/>
      <c r="N70" s="476">
        <f t="shared" si="3"/>
        <v>0</v>
      </c>
      <c r="O70" s="476">
        <f t="shared" si="4"/>
        <v>0</v>
      </c>
      <c r="P70" s="241"/>
    </row>
    <row r="71" spans="2:16" ht="12.5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3"/>
        <v>0</v>
      </c>
      <c r="F71" s="483">
        <f t="shared" si="14"/>
        <v>0</v>
      </c>
      <c r="G71" s="484">
        <f t="shared" si="15"/>
        <v>0</v>
      </c>
      <c r="H71" s="453">
        <f t="shared" si="16"/>
        <v>0</v>
      </c>
      <c r="I71" s="473">
        <f t="shared" si="5"/>
        <v>0</v>
      </c>
      <c r="J71" s="473"/>
      <c r="K71" s="485"/>
      <c r="L71" s="476">
        <f t="shared" si="1"/>
        <v>0</v>
      </c>
      <c r="M71" s="485"/>
      <c r="N71" s="476">
        <f t="shared" si="3"/>
        <v>0</v>
      </c>
      <c r="O71" s="476">
        <f t="shared" si="4"/>
        <v>0</v>
      </c>
      <c r="P71" s="241"/>
    </row>
    <row r="72" spans="2:16" ht="13" thickBot="1">
      <c r="B72" s="160" t="str">
        <f t="shared" si="7"/>
        <v/>
      </c>
      <c r="C72" s="487">
        <f>IF(D11="","-",+C71+1)</f>
        <v>2073</v>
      </c>
      <c r="D72" s="609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"/>
        <v>0</v>
      </c>
      <c r="M72" s="492"/>
      <c r="N72" s="493">
        <f t="shared" si="3"/>
        <v>0</v>
      </c>
      <c r="O72" s="493">
        <f t="shared" si="4"/>
        <v>0</v>
      </c>
      <c r="P72" s="241"/>
    </row>
    <row r="73" spans="2:16" ht="12.5">
      <c r="C73" s="345" t="s">
        <v>77</v>
      </c>
      <c r="D73" s="346"/>
      <c r="E73" s="346">
        <f>SUM(E17:E72)</f>
        <v>288859.59999999998</v>
      </c>
      <c r="F73" s="346"/>
      <c r="G73" s="346">
        <f>SUM(G17:G72)</f>
        <v>986469.41333280387</v>
      </c>
      <c r="H73" s="346">
        <f>SUM(H17:H72)</f>
        <v>986469.41333280387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25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36192.287124459006</v>
      </c>
      <c r="N87" s="506">
        <f>IF(J92&lt;D11,0,VLOOKUP(J92,C17:O72,11))</f>
        <v>36192.287124459006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36516.99072495164</v>
      </c>
      <c r="N88" s="510">
        <f>IF(J92&lt;D11,0,VLOOKUP(J92,C99:P154,7))</f>
        <v>36516.99072495164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Fort Towson-Valliant Line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324.703600492634</v>
      </c>
      <c r="N89" s="515">
        <f>+N88-N87</f>
        <v>324.703600492634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TP2015204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288859.60000000003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12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7602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2018</v>
      </c>
      <c r="D99" s="582">
        <v>0</v>
      </c>
      <c r="E99" s="605">
        <v>3512.5</v>
      </c>
      <c r="F99" s="582">
        <v>298567.5</v>
      </c>
      <c r="G99" s="605">
        <v>149283.75</v>
      </c>
      <c r="H99" s="585">
        <v>18849.250674297917</v>
      </c>
      <c r="I99" s="604">
        <v>18849.250674297917</v>
      </c>
      <c r="J99" s="476">
        <f>+I99-H99</f>
        <v>0</v>
      </c>
      <c r="K99" s="476"/>
      <c r="L99" s="475">
        <f>+H99</f>
        <v>18849.250674297917</v>
      </c>
      <c r="M99" s="475">
        <f t="shared" ref="M99" si="17">IF(L99&lt;&gt;0,+H99-L99,0)</f>
        <v>0</v>
      </c>
      <c r="N99" s="475">
        <f>+I99</f>
        <v>18849.250674297917</v>
      </c>
      <c r="O99" s="475">
        <f t="shared" ref="O99" si="18">IF(N99&lt;&gt;0,+I99-N99,0)</f>
        <v>0</v>
      </c>
      <c r="P99" s="475">
        <f t="shared" ref="P99" si="19">+O99-M99</f>
        <v>0</v>
      </c>
    </row>
    <row r="100" spans="1:16" ht="12.5">
      <c r="B100" s="160" t="str">
        <f>IF(D100=F99,"","IU")</f>
        <v>IU</v>
      </c>
      <c r="C100" s="470">
        <f>IF(D93="","-",+C99+1)</f>
        <v>2019</v>
      </c>
      <c r="D100" s="582">
        <v>285347.5</v>
      </c>
      <c r="E100" s="583">
        <v>7045</v>
      </c>
      <c r="F100" s="584">
        <v>278302.5</v>
      </c>
      <c r="G100" s="584">
        <v>281825</v>
      </c>
      <c r="H100" s="603">
        <v>36105.110400173638</v>
      </c>
      <c r="I100" s="604">
        <v>36105.110400173638</v>
      </c>
      <c r="J100" s="476">
        <f t="shared" ref="J100:J130" si="20">+I100-H100</f>
        <v>0</v>
      </c>
      <c r="K100" s="476"/>
      <c r="L100" s="474">
        <f>H100</f>
        <v>36105.110400173638</v>
      </c>
      <c r="M100" s="347">
        <f>IF(L100&lt;&gt;0,+H100-L100,0)</f>
        <v>0</v>
      </c>
      <c r="N100" s="474">
        <f>I100</f>
        <v>36105.110400173638</v>
      </c>
      <c r="O100" s="476">
        <f t="shared" ref="O100:O130" si="21">IF(N100&lt;&gt;0,+I100-N100,0)</f>
        <v>0</v>
      </c>
      <c r="P100" s="476">
        <f t="shared" ref="P100:P130" si="22">+O100-M100</f>
        <v>0</v>
      </c>
    </row>
    <row r="101" spans="1:16" ht="12.5">
      <c r="B101" s="160" t="str">
        <f t="shared" ref="B101:B154" si="23">IF(D101=F100,"","IU")</f>
        <v/>
      </c>
      <c r="C101" s="470">
        <f>IF(D93="","-",+C100+1)</f>
        <v>2020</v>
      </c>
      <c r="D101" s="582">
        <v>278302.5</v>
      </c>
      <c r="E101" s="583">
        <v>6718</v>
      </c>
      <c r="F101" s="584">
        <v>271584.5</v>
      </c>
      <c r="G101" s="584">
        <v>274943.5</v>
      </c>
      <c r="H101" s="603">
        <v>38418.229655174066</v>
      </c>
      <c r="I101" s="604">
        <v>38418.229655174066</v>
      </c>
      <c r="J101" s="476">
        <f t="shared" si="20"/>
        <v>0</v>
      </c>
      <c r="K101" s="476"/>
      <c r="L101" s="474">
        <f>H101</f>
        <v>38418.229655174066</v>
      </c>
      <c r="M101" s="347">
        <f>IF(L101&lt;&gt;0,+H101-L101,0)</f>
        <v>0</v>
      </c>
      <c r="N101" s="474">
        <f>I101</f>
        <v>38418.229655174066</v>
      </c>
      <c r="O101" s="476">
        <f t="shared" si="21"/>
        <v>0</v>
      </c>
      <c r="P101" s="476">
        <f t="shared" si="22"/>
        <v>0</v>
      </c>
    </row>
    <row r="102" spans="1:16" ht="12.5">
      <c r="B102" s="160" t="str">
        <f t="shared" si="23"/>
        <v/>
      </c>
      <c r="C102" s="470">
        <f>IF(D93="","-",+C101+1)</f>
        <v>2021</v>
      </c>
      <c r="D102" s="582">
        <v>271584.5</v>
      </c>
      <c r="E102" s="583">
        <v>7045</v>
      </c>
      <c r="F102" s="584">
        <v>264539.5</v>
      </c>
      <c r="G102" s="584">
        <v>268062</v>
      </c>
      <c r="H102" s="603">
        <v>37548.523685600252</v>
      </c>
      <c r="I102" s="604">
        <v>37548.523685600252</v>
      </c>
      <c r="J102" s="476">
        <f t="shared" si="20"/>
        <v>0</v>
      </c>
      <c r="K102" s="476"/>
      <c r="L102" s="474">
        <f>H102</f>
        <v>37548.523685600252</v>
      </c>
      <c r="M102" s="347">
        <f>IF(L102&lt;&gt;0,+H102-L102,0)</f>
        <v>0</v>
      </c>
      <c r="N102" s="474">
        <f>I102</f>
        <v>37548.523685600252</v>
      </c>
      <c r="O102" s="476">
        <f t="shared" si="21"/>
        <v>0</v>
      </c>
      <c r="P102" s="476">
        <f t="shared" si="22"/>
        <v>0</v>
      </c>
    </row>
    <row r="103" spans="1:16" ht="12.5">
      <c r="B103" s="160" t="str">
        <f t="shared" si="23"/>
        <v>IU</v>
      </c>
      <c r="C103" s="470">
        <f>IF(D93="","-",+C102+1)</f>
        <v>2022</v>
      </c>
      <c r="D103" s="345">
        <f>IF(F102+SUM(E$99:E102)=D$92,F102,D$92-SUM(E$99:E102))</f>
        <v>264539.10000000003</v>
      </c>
      <c r="E103" s="482">
        <f t="shared" ref="E103:E154" si="24">IF(+J$96&lt;F102,J$96,D103)</f>
        <v>7602</v>
      </c>
      <c r="F103" s="483">
        <f t="shared" ref="F103:F154" si="25">+D103-E103</f>
        <v>256937.10000000003</v>
      </c>
      <c r="G103" s="483">
        <f t="shared" ref="G103:G154" si="26">+(F103+D103)/2</f>
        <v>260738.10000000003</v>
      </c>
      <c r="H103" s="484">
        <f t="shared" ref="H103:H153" si="27">(D103+F103)/2*J$94+E103</f>
        <v>37385.344782279237</v>
      </c>
      <c r="I103" s="540">
        <f t="shared" ref="I103:I153" si="28">+J$95*G103+E103</f>
        <v>37385.344782279237</v>
      </c>
      <c r="J103" s="476">
        <f t="shared" si="20"/>
        <v>0</v>
      </c>
      <c r="K103" s="476"/>
      <c r="L103" s="485"/>
      <c r="M103" s="476">
        <f t="shared" ref="M103:M130" si="29">IF(L103&lt;&gt;0,+H103-L103,0)</f>
        <v>0</v>
      </c>
      <c r="N103" s="485"/>
      <c r="O103" s="476">
        <f t="shared" si="21"/>
        <v>0</v>
      </c>
      <c r="P103" s="476">
        <f t="shared" si="22"/>
        <v>0</v>
      </c>
    </row>
    <row r="104" spans="1:16" ht="12.5">
      <c r="B104" s="160" t="str">
        <f t="shared" si="23"/>
        <v/>
      </c>
      <c r="C104" s="470">
        <f>IF(D93="","-",+C103+1)</f>
        <v>2023</v>
      </c>
      <c r="D104" s="345">
        <f>IF(F103+SUM(E$99:E103)=D$92,F103,D$92-SUM(E$99:E103))</f>
        <v>256937.10000000003</v>
      </c>
      <c r="E104" s="482">
        <f t="shared" si="24"/>
        <v>7602</v>
      </c>
      <c r="F104" s="483">
        <f t="shared" si="25"/>
        <v>249335.10000000003</v>
      </c>
      <c r="G104" s="483">
        <f t="shared" si="26"/>
        <v>253136.10000000003</v>
      </c>
      <c r="H104" s="484">
        <f t="shared" si="27"/>
        <v>36516.99072495164</v>
      </c>
      <c r="I104" s="540">
        <f t="shared" si="28"/>
        <v>36516.99072495164</v>
      </c>
      <c r="J104" s="476">
        <f t="shared" si="20"/>
        <v>0</v>
      </c>
      <c r="K104" s="476"/>
      <c r="L104" s="485"/>
      <c r="M104" s="476">
        <f t="shared" si="29"/>
        <v>0</v>
      </c>
      <c r="N104" s="485"/>
      <c r="O104" s="476">
        <f t="shared" si="21"/>
        <v>0</v>
      </c>
      <c r="P104" s="476">
        <f t="shared" si="22"/>
        <v>0</v>
      </c>
    </row>
    <row r="105" spans="1:16" ht="12.5">
      <c r="B105" s="160" t="str">
        <f t="shared" si="23"/>
        <v/>
      </c>
      <c r="C105" s="470">
        <f>IF(D93="","-",+C104+1)</f>
        <v>2024</v>
      </c>
      <c r="D105" s="345">
        <f>IF(F104+SUM(E$99:E104)=D$92,F104,D$92-SUM(E$99:E104))</f>
        <v>249335.10000000003</v>
      </c>
      <c r="E105" s="482">
        <f t="shared" si="24"/>
        <v>7602</v>
      </c>
      <c r="F105" s="483">
        <f t="shared" si="25"/>
        <v>241733.10000000003</v>
      </c>
      <c r="G105" s="483">
        <f t="shared" si="26"/>
        <v>245534.10000000003</v>
      </c>
      <c r="H105" s="484">
        <f t="shared" si="27"/>
        <v>35648.636667624058</v>
      </c>
      <c r="I105" s="540">
        <f t="shared" si="28"/>
        <v>35648.636667624058</v>
      </c>
      <c r="J105" s="476">
        <f t="shared" si="20"/>
        <v>0</v>
      </c>
      <c r="K105" s="476"/>
      <c r="L105" s="485"/>
      <c r="M105" s="476">
        <f t="shared" si="29"/>
        <v>0</v>
      </c>
      <c r="N105" s="485"/>
      <c r="O105" s="476">
        <f t="shared" si="21"/>
        <v>0</v>
      </c>
      <c r="P105" s="476">
        <f t="shared" si="22"/>
        <v>0</v>
      </c>
    </row>
    <row r="106" spans="1:16" ht="12.5">
      <c r="B106" s="160" t="str">
        <f t="shared" si="23"/>
        <v/>
      </c>
      <c r="C106" s="470">
        <f>IF(D93="","-",+C105+1)</f>
        <v>2025</v>
      </c>
      <c r="D106" s="345">
        <f>IF(F105+SUM(E$99:E105)=D$92,F105,D$92-SUM(E$99:E105))</f>
        <v>241733.10000000003</v>
      </c>
      <c r="E106" s="482">
        <f t="shared" si="24"/>
        <v>7602</v>
      </c>
      <c r="F106" s="483">
        <f t="shared" si="25"/>
        <v>234131.10000000003</v>
      </c>
      <c r="G106" s="483">
        <f t="shared" si="26"/>
        <v>237932.10000000003</v>
      </c>
      <c r="H106" s="484">
        <f t="shared" si="27"/>
        <v>34780.282610296461</v>
      </c>
      <c r="I106" s="540">
        <f t="shared" si="28"/>
        <v>34780.282610296461</v>
      </c>
      <c r="J106" s="476">
        <f t="shared" si="20"/>
        <v>0</v>
      </c>
      <c r="K106" s="476"/>
      <c r="L106" s="485"/>
      <c r="M106" s="476">
        <f t="shared" si="29"/>
        <v>0</v>
      </c>
      <c r="N106" s="485"/>
      <c r="O106" s="476">
        <f t="shared" si="21"/>
        <v>0</v>
      </c>
      <c r="P106" s="476">
        <f t="shared" si="22"/>
        <v>0</v>
      </c>
    </row>
    <row r="107" spans="1:16" ht="12.5">
      <c r="B107" s="160" t="str">
        <f t="shared" si="23"/>
        <v/>
      </c>
      <c r="C107" s="470">
        <f>IF(D93="","-",+C106+1)</f>
        <v>2026</v>
      </c>
      <c r="D107" s="345">
        <f>IF(F106+SUM(E$99:E106)=D$92,F106,D$92-SUM(E$99:E106))</f>
        <v>234131.10000000003</v>
      </c>
      <c r="E107" s="482">
        <f t="shared" si="24"/>
        <v>7602</v>
      </c>
      <c r="F107" s="483">
        <f t="shared" si="25"/>
        <v>226529.10000000003</v>
      </c>
      <c r="G107" s="483">
        <f t="shared" si="26"/>
        <v>230330.10000000003</v>
      </c>
      <c r="H107" s="484">
        <f t="shared" si="27"/>
        <v>33911.928552968879</v>
      </c>
      <c r="I107" s="540">
        <f t="shared" si="28"/>
        <v>33911.928552968879</v>
      </c>
      <c r="J107" s="476">
        <f t="shared" si="20"/>
        <v>0</v>
      </c>
      <c r="K107" s="476"/>
      <c r="L107" s="485"/>
      <c r="M107" s="476">
        <f t="shared" si="29"/>
        <v>0</v>
      </c>
      <c r="N107" s="485"/>
      <c r="O107" s="476">
        <f t="shared" si="21"/>
        <v>0</v>
      </c>
      <c r="P107" s="476">
        <f t="shared" si="22"/>
        <v>0</v>
      </c>
    </row>
    <row r="108" spans="1:16" ht="12.5">
      <c r="B108" s="160" t="str">
        <f t="shared" si="23"/>
        <v/>
      </c>
      <c r="C108" s="470">
        <f>IF(D93="","-",+C107+1)</f>
        <v>2027</v>
      </c>
      <c r="D108" s="345">
        <f>IF(F107+SUM(E$99:E107)=D$92,F107,D$92-SUM(E$99:E107))</f>
        <v>226529.10000000003</v>
      </c>
      <c r="E108" s="482">
        <f t="shared" si="24"/>
        <v>7602</v>
      </c>
      <c r="F108" s="483">
        <f t="shared" si="25"/>
        <v>218927.10000000003</v>
      </c>
      <c r="G108" s="483">
        <f t="shared" si="26"/>
        <v>222728.10000000003</v>
      </c>
      <c r="H108" s="484">
        <f t="shared" si="27"/>
        <v>33043.574495641282</v>
      </c>
      <c r="I108" s="540">
        <f t="shared" si="28"/>
        <v>33043.574495641282</v>
      </c>
      <c r="J108" s="476">
        <f t="shared" si="20"/>
        <v>0</v>
      </c>
      <c r="K108" s="476"/>
      <c r="L108" s="485"/>
      <c r="M108" s="476">
        <f t="shared" si="29"/>
        <v>0</v>
      </c>
      <c r="N108" s="485"/>
      <c r="O108" s="476">
        <f t="shared" si="21"/>
        <v>0</v>
      </c>
      <c r="P108" s="476">
        <f t="shared" si="22"/>
        <v>0</v>
      </c>
    </row>
    <row r="109" spans="1:16" ht="12.5">
      <c r="B109" s="160" t="str">
        <f t="shared" si="23"/>
        <v/>
      </c>
      <c r="C109" s="470">
        <f>IF(D93="","-",+C108+1)</f>
        <v>2028</v>
      </c>
      <c r="D109" s="345">
        <f>IF(F108+SUM(E$99:E108)=D$92,F108,D$92-SUM(E$99:E108))</f>
        <v>218927.10000000003</v>
      </c>
      <c r="E109" s="482">
        <f t="shared" si="24"/>
        <v>7602</v>
      </c>
      <c r="F109" s="483">
        <f t="shared" si="25"/>
        <v>211325.10000000003</v>
      </c>
      <c r="G109" s="483">
        <f t="shared" si="26"/>
        <v>215126.10000000003</v>
      </c>
      <c r="H109" s="484">
        <f t="shared" si="27"/>
        <v>32175.220438313696</v>
      </c>
      <c r="I109" s="540">
        <f t="shared" si="28"/>
        <v>32175.220438313696</v>
      </c>
      <c r="J109" s="476">
        <f t="shared" si="20"/>
        <v>0</v>
      </c>
      <c r="K109" s="476"/>
      <c r="L109" s="485"/>
      <c r="M109" s="476">
        <f t="shared" si="29"/>
        <v>0</v>
      </c>
      <c r="N109" s="485"/>
      <c r="O109" s="476">
        <f t="shared" si="21"/>
        <v>0</v>
      </c>
      <c r="P109" s="476">
        <f t="shared" si="22"/>
        <v>0</v>
      </c>
    </row>
    <row r="110" spans="1:16" ht="12.5">
      <c r="B110" s="160" t="str">
        <f t="shared" si="23"/>
        <v/>
      </c>
      <c r="C110" s="470">
        <f>IF(D93="","-",+C109+1)</f>
        <v>2029</v>
      </c>
      <c r="D110" s="345">
        <f>IF(F109+SUM(E$99:E109)=D$92,F109,D$92-SUM(E$99:E109))</f>
        <v>211325.10000000003</v>
      </c>
      <c r="E110" s="482">
        <f t="shared" si="24"/>
        <v>7602</v>
      </c>
      <c r="F110" s="483">
        <f t="shared" si="25"/>
        <v>203723.10000000003</v>
      </c>
      <c r="G110" s="483">
        <f t="shared" si="26"/>
        <v>207524.10000000003</v>
      </c>
      <c r="H110" s="484">
        <f t="shared" si="27"/>
        <v>31306.866380986106</v>
      </c>
      <c r="I110" s="540">
        <f t="shared" si="28"/>
        <v>31306.866380986106</v>
      </c>
      <c r="J110" s="476">
        <f t="shared" si="20"/>
        <v>0</v>
      </c>
      <c r="K110" s="476"/>
      <c r="L110" s="485"/>
      <c r="M110" s="476">
        <f t="shared" si="29"/>
        <v>0</v>
      </c>
      <c r="N110" s="485"/>
      <c r="O110" s="476">
        <f t="shared" si="21"/>
        <v>0</v>
      </c>
      <c r="P110" s="476">
        <f t="shared" si="22"/>
        <v>0</v>
      </c>
    </row>
    <row r="111" spans="1:16" ht="12.5">
      <c r="B111" s="160" t="str">
        <f t="shared" si="23"/>
        <v/>
      </c>
      <c r="C111" s="470">
        <f>IF(D93="","-",+C110+1)</f>
        <v>2030</v>
      </c>
      <c r="D111" s="345">
        <f>IF(F110+SUM(E$99:E110)=D$92,F110,D$92-SUM(E$99:E110))</f>
        <v>203723.10000000003</v>
      </c>
      <c r="E111" s="482">
        <f t="shared" si="24"/>
        <v>7602</v>
      </c>
      <c r="F111" s="483">
        <f t="shared" si="25"/>
        <v>196121.10000000003</v>
      </c>
      <c r="G111" s="483">
        <f t="shared" si="26"/>
        <v>199922.10000000003</v>
      </c>
      <c r="H111" s="484">
        <f t="shared" si="27"/>
        <v>30438.51232365852</v>
      </c>
      <c r="I111" s="540">
        <f t="shared" si="28"/>
        <v>30438.51232365852</v>
      </c>
      <c r="J111" s="476">
        <f t="shared" si="20"/>
        <v>0</v>
      </c>
      <c r="K111" s="476"/>
      <c r="L111" s="485"/>
      <c r="M111" s="476">
        <f t="shared" si="29"/>
        <v>0</v>
      </c>
      <c r="N111" s="485"/>
      <c r="O111" s="476">
        <f t="shared" si="21"/>
        <v>0</v>
      </c>
      <c r="P111" s="476">
        <f t="shared" si="22"/>
        <v>0</v>
      </c>
    </row>
    <row r="112" spans="1:16" ht="12.5">
      <c r="B112" s="160" t="str">
        <f t="shared" si="23"/>
        <v/>
      </c>
      <c r="C112" s="470">
        <f>IF(D93="","-",+C111+1)</f>
        <v>2031</v>
      </c>
      <c r="D112" s="345">
        <f>IF(F111+SUM(E$99:E111)=D$92,F111,D$92-SUM(E$99:E111))</f>
        <v>196121.10000000003</v>
      </c>
      <c r="E112" s="482">
        <f t="shared" si="24"/>
        <v>7602</v>
      </c>
      <c r="F112" s="483">
        <f t="shared" si="25"/>
        <v>188519.10000000003</v>
      </c>
      <c r="G112" s="483">
        <f t="shared" si="26"/>
        <v>192320.10000000003</v>
      </c>
      <c r="H112" s="484">
        <f t="shared" si="27"/>
        <v>29570.158266330931</v>
      </c>
      <c r="I112" s="540">
        <f t="shared" si="28"/>
        <v>29570.158266330931</v>
      </c>
      <c r="J112" s="476">
        <f t="shared" si="20"/>
        <v>0</v>
      </c>
      <c r="K112" s="476"/>
      <c r="L112" s="485"/>
      <c r="M112" s="476">
        <f t="shared" si="29"/>
        <v>0</v>
      </c>
      <c r="N112" s="485"/>
      <c r="O112" s="476">
        <f t="shared" si="21"/>
        <v>0</v>
      </c>
      <c r="P112" s="476">
        <f t="shared" si="22"/>
        <v>0</v>
      </c>
    </row>
    <row r="113" spans="2:16" ht="12.5">
      <c r="B113" s="160" t="str">
        <f t="shared" si="23"/>
        <v/>
      </c>
      <c r="C113" s="470">
        <f>IF(D93="","-",+C112+1)</f>
        <v>2032</v>
      </c>
      <c r="D113" s="345">
        <f>IF(F112+SUM(E$99:E112)=D$92,F112,D$92-SUM(E$99:E112))</f>
        <v>188519.10000000003</v>
      </c>
      <c r="E113" s="482">
        <f t="shared" si="24"/>
        <v>7602</v>
      </c>
      <c r="F113" s="483">
        <f t="shared" si="25"/>
        <v>180917.10000000003</v>
      </c>
      <c r="G113" s="483">
        <f t="shared" si="26"/>
        <v>184718.10000000003</v>
      </c>
      <c r="H113" s="484">
        <f t="shared" si="27"/>
        <v>28701.804209003341</v>
      </c>
      <c r="I113" s="540">
        <f t="shared" si="28"/>
        <v>28701.804209003341</v>
      </c>
      <c r="J113" s="476">
        <f t="shared" si="20"/>
        <v>0</v>
      </c>
      <c r="K113" s="476"/>
      <c r="L113" s="485"/>
      <c r="M113" s="476">
        <f t="shared" si="29"/>
        <v>0</v>
      </c>
      <c r="N113" s="485"/>
      <c r="O113" s="476">
        <f t="shared" si="21"/>
        <v>0</v>
      </c>
      <c r="P113" s="476">
        <f t="shared" si="22"/>
        <v>0</v>
      </c>
    </row>
    <row r="114" spans="2:16" ht="12.5">
      <c r="B114" s="160" t="str">
        <f t="shared" si="23"/>
        <v/>
      </c>
      <c r="C114" s="470">
        <f>IF(D93="","-",+C113+1)</f>
        <v>2033</v>
      </c>
      <c r="D114" s="345">
        <f>IF(F113+SUM(E$99:E113)=D$92,F113,D$92-SUM(E$99:E113))</f>
        <v>180917.10000000003</v>
      </c>
      <c r="E114" s="482">
        <f t="shared" si="24"/>
        <v>7602</v>
      </c>
      <c r="F114" s="483">
        <f t="shared" si="25"/>
        <v>173315.10000000003</v>
      </c>
      <c r="G114" s="483">
        <f t="shared" si="26"/>
        <v>177116.10000000003</v>
      </c>
      <c r="H114" s="484">
        <f t="shared" si="27"/>
        <v>27833.450151675752</v>
      </c>
      <c r="I114" s="540">
        <f t="shared" si="28"/>
        <v>27833.450151675752</v>
      </c>
      <c r="J114" s="476">
        <f t="shared" si="20"/>
        <v>0</v>
      </c>
      <c r="K114" s="476"/>
      <c r="L114" s="485"/>
      <c r="M114" s="476">
        <f t="shared" si="29"/>
        <v>0</v>
      </c>
      <c r="N114" s="485"/>
      <c r="O114" s="476">
        <f t="shared" si="21"/>
        <v>0</v>
      </c>
      <c r="P114" s="476">
        <f t="shared" si="22"/>
        <v>0</v>
      </c>
    </row>
    <row r="115" spans="2:16" ht="12.5">
      <c r="B115" s="160" t="str">
        <f t="shared" si="23"/>
        <v/>
      </c>
      <c r="C115" s="470">
        <f>IF(D93="","-",+C114+1)</f>
        <v>2034</v>
      </c>
      <c r="D115" s="345">
        <f>IF(F114+SUM(E$99:E114)=D$92,F114,D$92-SUM(E$99:E114))</f>
        <v>173315.10000000003</v>
      </c>
      <c r="E115" s="482">
        <f t="shared" si="24"/>
        <v>7602</v>
      </c>
      <c r="F115" s="483">
        <f t="shared" si="25"/>
        <v>165713.10000000003</v>
      </c>
      <c r="G115" s="483">
        <f t="shared" si="26"/>
        <v>169514.10000000003</v>
      </c>
      <c r="H115" s="484">
        <f t="shared" si="27"/>
        <v>26965.096094348162</v>
      </c>
      <c r="I115" s="540">
        <f t="shared" si="28"/>
        <v>26965.096094348162</v>
      </c>
      <c r="J115" s="476">
        <f t="shared" si="20"/>
        <v>0</v>
      </c>
      <c r="K115" s="476"/>
      <c r="L115" s="485"/>
      <c r="M115" s="476">
        <f t="shared" si="29"/>
        <v>0</v>
      </c>
      <c r="N115" s="485"/>
      <c r="O115" s="476">
        <f t="shared" si="21"/>
        <v>0</v>
      </c>
      <c r="P115" s="476">
        <f t="shared" si="22"/>
        <v>0</v>
      </c>
    </row>
    <row r="116" spans="2:16" ht="12.5">
      <c r="B116" s="160" t="str">
        <f t="shared" si="23"/>
        <v/>
      </c>
      <c r="C116" s="470">
        <f>IF(D93="","-",+C115+1)</f>
        <v>2035</v>
      </c>
      <c r="D116" s="345">
        <f>IF(F115+SUM(E$99:E115)=D$92,F115,D$92-SUM(E$99:E115))</f>
        <v>165713.10000000003</v>
      </c>
      <c r="E116" s="482">
        <f t="shared" si="24"/>
        <v>7602</v>
      </c>
      <c r="F116" s="483">
        <f t="shared" si="25"/>
        <v>158111.10000000003</v>
      </c>
      <c r="G116" s="483">
        <f t="shared" si="26"/>
        <v>161912.10000000003</v>
      </c>
      <c r="H116" s="484">
        <f t="shared" si="27"/>
        <v>26096.742037020573</v>
      </c>
      <c r="I116" s="540">
        <f t="shared" si="28"/>
        <v>26096.742037020573</v>
      </c>
      <c r="J116" s="476">
        <f t="shared" si="20"/>
        <v>0</v>
      </c>
      <c r="K116" s="476"/>
      <c r="L116" s="485"/>
      <c r="M116" s="476">
        <f t="shared" si="29"/>
        <v>0</v>
      </c>
      <c r="N116" s="485"/>
      <c r="O116" s="476">
        <f t="shared" si="21"/>
        <v>0</v>
      </c>
      <c r="P116" s="476">
        <f t="shared" si="22"/>
        <v>0</v>
      </c>
    </row>
    <row r="117" spans="2:16" ht="12.5">
      <c r="B117" s="160" t="str">
        <f t="shared" si="23"/>
        <v/>
      </c>
      <c r="C117" s="470">
        <f>IF(D93="","-",+C116+1)</f>
        <v>2036</v>
      </c>
      <c r="D117" s="345">
        <f>IF(F116+SUM(E$99:E116)=D$92,F116,D$92-SUM(E$99:E116))</f>
        <v>158111.10000000003</v>
      </c>
      <c r="E117" s="482">
        <f t="shared" si="24"/>
        <v>7602</v>
      </c>
      <c r="F117" s="483">
        <f t="shared" si="25"/>
        <v>150509.10000000003</v>
      </c>
      <c r="G117" s="483">
        <f t="shared" si="26"/>
        <v>154310.10000000003</v>
      </c>
      <c r="H117" s="484">
        <f t="shared" si="27"/>
        <v>25228.387979692983</v>
      </c>
      <c r="I117" s="540">
        <f t="shared" si="28"/>
        <v>25228.387979692983</v>
      </c>
      <c r="J117" s="476">
        <f t="shared" si="20"/>
        <v>0</v>
      </c>
      <c r="K117" s="476"/>
      <c r="L117" s="485"/>
      <c r="M117" s="476">
        <f t="shared" si="29"/>
        <v>0</v>
      </c>
      <c r="N117" s="485"/>
      <c r="O117" s="476">
        <f t="shared" si="21"/>
        <v>0</v>
      </c>
      <c r="P117" s="476">
        <f t="shared" si="22"/>
        <v>0</v>
      </c>
    </row>
    <row r="118" spans="2:16" ht="12.5">
      <c r="B118" s="160" t="str">
        <f t="shared" si="23"/>
        <v/>
      </c>
      <c r="C118" s="470">
        <f>IF(D93="","-",+C117+1)</f>
        <v>2037</v>
      </c>
      <c r="D118" s="345">
        <f>IF(F117+SUM(E$99:E117)=D$92,F117,D$92-SUM(E$99:E117))</f>
        <v>150509.10000000003</v>
      </c>
      <c r="E118" s="482">
        <f t="shared" si="24"/>
        <v>7602</v>
      </c>
      <c r="F118" s="483">
        <f t="shared" si="25"/>
        <v>142907.10000000003</v>
      </c>
      <c r="G118" s="483">
        <f t="shared" si="26"/>
        <v>146708.10000000003</v>
      </c>
      <c r="H118" s="484">
        <f t="shared" si="27"/>
        <v>24360.033922365394</v>
      </c>
      <c r="I118" s="540">
        <f t="shared" si="28"/>
        <v>24360.033922365394</v>
      </c>
      <c r="J118" s="476">
        <f t="shared" si="20"/>
        <v>0</v>
      </c>
      <c r="K118" s="476"/>
      <c r="L118" s="485"/>
      <c r="M118" s="476">
        <f t="shared" si="29"/>
        <v>0</v>
      </c>
      <c r="N118" s="485"/>
      <c r="O118" s="476">
        <f t="shared" si="21"/>
        <v>0</v>
      </c>
      <c r="P118" s="476">
        <f t="shared" si="22"/>
        <v>0</v>
      </c>
    </row>
    <row r="119" spans="2:16" ht="12.5">
      <c r="B119" s="160" t="str">
        <f t="shared" si="23"/>
        <v/>
      </c>
      <c r="C119" s="470">
        <f>IF(D93="","-",+C118+1)</f>
        <v>2038</v>
      </c>
      <c r="D119" s="345">
        <f>IF(F118+SUM(E$99:E118)=D$92,F118,D$92-SUM(E$99:E118))</f>
        <v>142907.10000000003</v>
      </c>
      <c r="E119" s="482">
        <f t="shared" si="24"/>
        <v>7602</v>
      </c>
      <c r="F119" s="483">
        <f t="shared" si="25"/>
        <v>135305.10000000003</v>
      </c>
      <c r="G119" s="483">
        <f t="shared" si="26"/>
        <v>139106.10000000003</v>
      </c>
      <c r="H119" s="484">
        <f t="shared" si="27"/>
        <v>23491.679865037804</v>
      </c>
      <c r="I119" s="540">
        <f t="shared" si="28"/>
        <v>23491.679865037804</v>
      </c>
      <c r="J119" s="476">
        <f t="shared" si="20"/>
        <v>0</v>
      </c>
      <c r="K119" s="476"/>
      <c r="L119" s="485"/>
      <c r="M119" s="476">
        <f t="shared" si="29"/>
        <v>0</v>
      </c>
      <c r="N119" s="485"/>
      <c r="O119" s="476">
        <f t="shared" si="21"/>
        <v>0</v>
      </c>
      <c r="P119" s="476">
        <f t="shared" si="22"/>
        <v>0</v>
      </c>
    </row>
    <row r="120" spans="2:16" ht="12.5">
      <c r="B120" s="160" t="str">
        <f t="shared" si="23"/>
        <v/>
      </c>
      <c r="C120" s="470">
        <f>IF(D93="","-",+C119+1)</f>
        <v>2039</v>
      </c>
      <c r="D120" s="345">
        <f>IF(F119+SUM(E$99:E119)=D$92,F119,D$92-SUM(E$99:E119))</f>
        <v>135305.10000000003</v>
      </c>
      <c r="E120" s="482">
        <f t="shared" si="24"/>
        <v>7602</v>
      </c>
      <c r="F120" s="483">
        <f t="shared" si="25"/>
        <v>127703.10000000003</v>
      </c>
      <c r="G120" s="483">
        <f t="shared" si="26"/>
        <v>131504.10000000003</v>
      </c>
      <c r="H120" s="484">
        <f t="shared" si="27"/>
        <v>22623.325807710215</v>
      </c>
      <c r="I120" s="540">
        <f t="shared" si="28"/>
        <v>22623.325807710215</v>
      </c>
      <c r="J120" s="476">
        <f t="shared" si="20"/>
        <v>0</v>
      </c>
      <c r="K120" s="476"/>
      <c r="L120" s="485"/>
      <c r="M120" s="476">
        <f t="shared" si="29"/>
        <v>0</v>
      </c>
      <c r="N120" s="485"/>
      <c r="O120" s="476">
        <f t="shared" si="21"/>
        <v>0</v>
      </c>
      <c r="P120" s="476">
        <f t="shared" si="22"/>
        <v>0</v>
      </c>
    </row>
    <row r="121" spans="2:16" ht="12.5">
      <c r="B121" s="160" t="str">
        <f t="shared" si="23"/>
        <v/>
      </c>
      <c r="C121" s="470">
        <f>IF(D93="","-",+C120+1)</f>
        <v>2040</v>
      </c>
      <c r="D121" s="345">
        <f>IF(F120+SUM(E$99:E120)=D$92,F120,D$92-SUM(E$99:E120))</f>
        <v>127703.10000000003</v>
      </c>
      <c r="E121" s="482">
        <f t="shared" si="24"/>
        <v>7602</v>
      </c>
      <c r="F121" s="483">
        <f t="shared" si="25"/>
        <v>120101.10000000003</v>
      </c>
      <c r="G121" s="483">
        <f t="shared" si="26"/>
        <v>123902.10000000003</v>
      </c>
      <c r="H121" s="484">
        <f t="shared" si="27"/>
        <v>21754.971750382625</v>
      </c>
      <c r="I121" s="540">
        <f t="shared" si="28"/>
        <v>21754.971750382625</v>
      </c>
      <c r="J121" s="476">
        <f t="shared" si="20"/>
        <v>0</v>
      </c>
      <c r="K121" s="476"/>
      <c r="L121" s="485"/>
      <c r="M121" s="476">
        <f t="shared" si="29"/>
        <v>0</v>
      </c>
      <c r="N121" s="485"/>
      <c r="O121" s="476">
        <f t="shared" si="21"/>
        <v>0</v>
      </c>
      <c r="P121" s="476">
        <f t="shared" si="22"/>
        <v>0</v>
      </c>
    </row>
    <row r="122" spans="2:16" ht="12.5">
      <c r="B122" s="160" t="str">
        <f t="shared" si="23"/>
        <v/>
      </c>
      <c r="C122" s="470">
        <f>IF(D93="","-",+C121+1)</f>
        <v>2041</v>
      </c>
      <c r="D122" s="345">
        <f>IF(F121+SUM(E$99:E121)=D$92,F121,D$92-SUM(E$99:E121))</f>
        <v>120101.10000000003</v>
      </c>
      <c r="E122" s="482">
        <f t="shared" si="24"/>
        <v>7602</v>
      </c>
      <c r="F122" s="483">
        <f t="shared" si="25"/>
        <v>112499.10000000003</v>
      </c>
      <c r="G122" s="483">
        <f t="shared" si="26"/>
        <v>116300.10000000003</v>
      </c>
      <c r="H122" s="484">
        <f t="shared" si="27"/>
        <v>20886.617693055035</v>
      </c>
      <c r="I122" s="540">
        <f t="shared" si="28"/>
        <v>20886.617693055035</v>
      </c>
      <c r="J122" s="476">
        <f t="shared" si="20"/>
        <v>0</v>
      </c>
      <c r="K122" s="476"/>
      <c r="L122" s="485"/>
      <c r="M122" s="476">
        <f t="shared" si="29"/>
        <v>0</v>
      </c>
      <c r="N122" s="485"/>
      <c r="O122" s="476">
        <f t="shared" si="21"/>
        <v>0</v>
      </c>
      <c r="P122" s="476">
        <f t="shared" si="22"/>
        <v>0</v>
      </c>
    </row>
    <row r="123" spans="2:16" ht="12.5">
      <c r="B123" s="160" t="str">
        <f t="shared" si="23"/>
        <v/>
      </c>
      <c r="C123" s="470">
        <f>IF(D93="","-",+C122+1)</f>
        <v>2042</v>
      </c>
      <c r="D123" s="345">
        <f>IF(F122+SUM(E$99:E122)=D$92,F122,D$92-SUM(E$99:E122))</f>
        <v>112499.10000000003</v>
      </c>
      <c r="E123" s="482">
        <f t="shared" si="24"/>
        <v>7602</v>
      </c>
      <c r="F123" s="483">
        <f t="shared" si="25"/>
        <v>104897.10000000003</v>
      </c>
      <c r="G123" s="483">
        <f t="shared" si="26"/>
        <v>108698.10000000003</v>
      </c>
      <c r="H123" s="484">
        <f t="shared" si="27"/>
        <v>20018.263635727446</v>
      </c>
      <c r="I123" s="540">
        <f t="shared" si="28"/>
        <v>20018.263635727446</v>
      </c>
      <c r="J123" s="476">
        <f t="shared" si="20"/>
        <v>0</v>
      </c>
      <c r="K123" s="476"/>
      <c r="L123" s="485"/>
      <c r="M123" s="476">
        <f t="shared" si="29"/>
        <v>0</v>
      </c>
      <c r="N123" s="485"/>
      <c r="O123" s="476">
        <f t="shared" si="21"/>
        <v>0</v>
      </c>
      <c r="P123" s="476">
        <f t="shared" si="22"/>
        <v>0</v>
      </c>
    </row>
    <row r="124" spans="2:16" ht="12.5">
      <c r="B124" s="160" t="str">
        <f t="shared" si="23"/>
        <v/>
      </c>
      <c r="C124" s="470">
        <f>IF(D93="","-",+C123+1)</f>
        <v>2043</v>
      </c>
      <c r="D124" s="345">
        <f>IF(F123+SUM(E$99:E123)=D$92,F123,D$92-SUM(E$99:E123))</f>
        <v>104897.10000000003</v>
      </c>
      <c r="E124" s="482">
        <f t="shared" si="24"/>
        <v>7602</v>
      </c>
      <c r="F124" s="483">
        <f t="shared" si="25"/>
        <v>97295.100000000035</v>
      </c>
      <c r="G124" s="483">
        <f t="shared" si="26"/>
        <v>101096.10000000003</v>
      </c>
      <c r="H124" s="484">
        <f t="shared" si="27"/>
        <v>19149.909578399856</v>
      </c>
      <c r="I124" s="540">
        <f t="shared" si="28"/>
        <v>19149.909578399856</v>
      </c>
      <c r="J124" s="476">
        <f t="shared" si="20"/>
        <v>0</v>
      </c>
      <c r="K124" s="476"/>
      <c r="L124" s="485"/>
      <c r="M124" s="476">
        <f t="shared" si="29"/>
        <v>0</v>
      </c>
      <c r="N124" s="485"/>
      <c r="O124" s="476">
        <f t="shared" si="21"/>
        <v>0</v>
      </c>
      <c r="P124" s="476">
        <f t="shared" si="22"/>
        <v>0</v>
      </c>
    </row>
    <row r="125" spans="2:16" ht="12.5">
      <c r="B125" s="160" t="str">
        <f t="shared" si="23"/>
        <v/>
      </c>
      <c r="C125" s="470">
        <f>IF(D93="","-",+C124+1)</f>
        <v>2044</v>
      </c>
      <c r="D125" s="345">
        <f>IF(F124+SUM(E$99:E124)=D$92,F124,D$92-SUM(E$99:E124))</f>
        <v>97295.100000000035</v>
      </c>
      <c r="E125" s="482">
        <f t="shared" si="24"/>
        <v>7602</v>
      </c>
      <c r="F125" s="483">
        <f t="shared" si="25"/>
        <v>89693.100000000035</v>
      </c>
      <c r="G125" s="483">
        <f t="shared" si="26"/>
        <v>93494.100000000035</v>
      </c>
      <c r="H125" s="484">
        <f t="shared" si="27"/>
        <v>18281.555521072267</v>
      </c>
      <c r="I125" s="540">
        <f t="shared" si="28"/>
        <v>18281.555521072267</v>
      </c>
      <c r="J125" s="476">
        <f t="shared" si="20"/>
        <v>0</v>
      </c>
      <c r="K125" s="476"/>
      <c r="L125" s="485"/>
      <c r="M125" s="476">
        <f t="shared" si="29"/>
        <v>0</v>
      </c>
      <c r="N125" s="485"/>
      <c r="O125" s="476">
        <f t="shared" si="21"/>
        <v>0</v>
      </c>
      <c r="P125" s="476">
        <f t="shared" si="22"/>
        <v>0</v>
      </c>
    </row>
    <row r="126" spans="2:16" ht="12.5">
      <c r="B126" s="160" t="str">
        <f t="shared" si="23"/>
        <v/>
      </c>
      <c r="C126" s="470">
        <f>IF(D93="","-",+C125+1)</f>
        <v>2045</v>
      </c>
      <c r="D126" s="345">
        <f>IF(F125+SUM(E$99:E125)=D$92,F125,D$92-SUM(E$99:E125))</f>
        <v>89693.100000000035</v>
      </c>
      <c r="E126" s="482">
        <f t="shared" si="24"/>
        <v>7602</v>
      </c>
      <c r="F126" s="483">
        <f t="shared" si="25"/>
        <v>82091.100000000035</v>
      </c>
      <c r="G126" s="483">
        <f t="shared" si="26"/>
        <v>85892.100000000035</v>
      </c>
      <c r="H126" s="484">
        <f t="shared" si="27"/>
        <v>17413.201463744681</v>
      </c>
      <c r="I126" s="540">
        <f t="shared" si="28"/>
        <v>17413.201463744681</v>
      </c>
      <c r="J126" s="476">
        <f t="shared" si="20"/>
        <v>0</v>
      </c>
      <c r="K126" s="476"/>
      <c r="L126" s="485"/>
      <c r="M126" s="476">
        <f t="shared" si="29"/>
        <v>0</v>
      </c>
      <c r="N126" s="485"/>
      <c r="O126" s="476">
        <f t="shared" si="21"/>
        <v>0</v>
      </c>
      <c r="P126" s="476">
        <f t="shared" si="22"/>
        <v>0</v>
      </c>
    </row>
    <row r="127" spans="2:16" ht="12.5">
      <c r="B127" s="160" t="str">
        <f t="shared" si="23"/>
        <v/>
      </c>
      <c r="C127" s="470">
        <f>IF(D93="","-",+C126+1)</f>
        <v>2046</v>
      </c>
      <c r="D127" s="345">
        <f>IF(F126+SUM(E$99:E126)=D$92,F126,D$92-SUM(E$99:E126))</f>
        <v>82091.100000000035</v>
      </c>
      <c r="E127" s="482">
        <f t="shared" si="24"/>
        <v>7602</v>
      </c>
      <c r="F127" s="483">
        <f t="shared" si="25"/>
        <v>74489.100000000035</v>
      </c>
      <c r="G127" s="483">
        <f t="shared" si="26"/>
        <v>78290.100000000035</v>
      </c>
      <c r="H127" s="484">
        <f t="shared" si="27"/>
        <v>16544.847406417091</v>
      </c>
      <c r="I127" s="540">
        <f t="shared" si="28"/>
        <v>16544.847406417091</v>
      </c>
      <c r="J127" s="476">
        <f t="shared" si="20"/>
        <v>0</v>
      </c>
      <c r="K127" s="476"/>
      <c r="L127" s="485"/>
      <c r="M127" s="476">
        <f t="shared" si="29"/>
        <v>0</v>
      </c>
      <c r="N127" s="485"/>
      <c r="O127" s="476">
        <f t="shared" si="21"/>
        <v>0</v>
      </c>
      <c r="P127" s="476">
        <f t="shared" si="22"/>
        <v>0</v>
      </c>
    </row>
    <row r="128" spans="2:16" ht="12.5">
      <c r="B128" s="160" t="str">
        <f t="shared" si="23"/>
        <v/>
      </c>
      <c r="C128" s="470">
        <f>IF(D93="","-",+C127+1)</f>
        <v>2047</v>
      </c>
      <c r="D128" s="345">
        <f>IF(F127+SUM(E$99:E127)=D$92,F127,D$92-SUM(E$99:E127))</f>
        <v>74489.100000000035</v>
      </c>
      <c r="E128" s="482">
        <f t="shared" si="24"/>
        <v>7602</v>
      </c>
      <c r="F128" s="483">
        <f t="shared" si="25"/>
        <v>66887.100000000035</v>
      </c>
      <c r="G128" s="483">
        <f t="shared" si="26"/>
        <v>70688.100000000035</v>
      </c>
      <c r="H128" s="484">
        <f t="shared" si="27"/>
        <v>15676.493349089502</v>
      </c>
      <c r="I128" s="540">
        <f t="shared" si="28"/>
        <v>15676.493349089502</v>
      </c>
      <c r="J128" s="476">
        <f t="shared" si="20"/>
        <v>0</v>
      </c>
      <c r="K128" s="476"/>
      <c r="L128" s="485"/>
      <c r="M128" s="476">
        <f t="shared" si="29"/>
        <v>0</v>
      </c>
      <c r="N128" s="485"/>
      <c r="O128" s="476">
        <f t="shared" si="21"/>
        <v>0</v>
      </c>
      <c r="P128" s="476">
        <f t="shared" si="22"/>
        <v>0</v>
      </c>
    </row>
    <row r="129" spans="2:16" ht="12.5">
      <c r="B129" s="160" t="str">
        <f t="shared" si="23"/>
        <v/>
      </c>
      <c r="C129" s="470">
        <f>IF(D93="","-",+C128+1)</f>
        <v>2048</v>
      </c>
      <c r="D129" s="345">
        <f>IF(F128+SUM(E$99:E128)=D$92,F128,D$92-SUM(E$99:E128))</f>
        <v>66887.100000000035</v>
      </c>
      <c r="E129" s="482">
        <f t="shared" si="24"/>
        <v>7602</v>
      </c>
      <c r="F129" s="483">
        <f t="shared" si="25"/>
        <v>59285.100000000035</v>
      </c>
      <c r="G129" s="483">
        <f t="shared" si="26"/>
        <v>63086.100000000035</v>
      </c>
      <c r="H129" s="484">
        <f t="shared" si="27"/>
        <v>14808.139291761912</v>
      </c>
      <c r="I129" s="540">
        <f t="shared" si="28"/>
        <v>14808.139291761912</v>
      </c>
      <c r="J129" s="476">
        <f t="shared" si="20"/>
        <v>0</v>
      </c>
      <c r="K129" s="476"/>
      <c r="L129" s="485"/>
      <c r="M129" s="476">
        <f t="shared" si="29"/>
        <v>0</v>
      </c>
      <c r="N129" s="485"/>
      <c r="O129" s="476">
        <f t="shared" si="21"/>
        <v>0</v>
      </c>
      <c r="P129" s="476">
        <f t="shared" si="22"/>
        <v>0</v>
      </c>
    </row>
    <row r="130" spans="2:16" ht="12.5">
      <c r="B130" s="160" t="str">
        <f t="shared" si="23"/>
        <v/>
      </c>
      <c r="C130" s="470">
        <f>IF(D93="","-",+C129+1)</f>
        <v>2049</v>
      </c>
      <c r="D130" s="345">
        <f>IF(F129+SUM(E$99:E129)=D$92,F129,D$92-SUM(E$99:E129))</f>
        <v>59285.100000000035</v>
      </c>
      <c r="E130" s="482">
        <f t="shared" si="24"/>
        <v>7602</v>
      </c>
      <c r="F130" s="483">
        <f t="shared" si="25"/>
        <v>51683.100000000035</v>
      </c>
      <c r="G130" s="483">
        <f t="shared" si="26"/>
        <v>55484.100000000035</v>
      </c>
      <c r="H130" s="484">
        <f t="shared" si="27"/>
        <v>13939.785234434323</v>
      </c>
      <c r="I130" s="540">
        <f t="shared" si="28"/>
        <v>13939.785234434323</v>
      </c>
      <c r="J130" s="476">
        <f t="shared" si="20"/>
        <v>0</v>
      </c>
      <c r="K130" s="476"/>
      <c r="L130" s="485"/>
      <c r="M130" s="476">
        <f t="shared" si="29"/>
        <v>0</v>
      </c>
      <c r="N130" s="485"/>
      <c r="O130" s="476">
        <f t="shared" si="21"/>
        <v>0</v>
      </c>
      <c r="P130" s="476">
        <f t="shared" si="22"/>
        <v>0</v>
      </c>
    </row>
    <row r="131" spans="2:16" ht="12.5">
      <c r="B131" s="160" t="str">
        <f t="shared" si="23"/>
        <v/>
      </c>
      <c r="C131" s="470">
        <f>IF(D93="","-",+C130+1)</f>
        <v>2050</v>
      </c>
      <c r="D131" s="345">
        <f>IF(F130+SUM(E$99:E130)=D$92,F130,D$92-SUM(E$99:E130))</f>
        <v>51683.100000000035</v>
      </c>
      <c r="E131" s="482">
        <f t="shared" si="24"/>
        <v>7602</v>
      </c>
      <c r="F131" s="483">
        <f t="shared" si="25"/>
        <v>44081.100000000035</v>
      </c>
      <c r="G131" s="483">
        <f t="shared" si="26"/>
        <v>47882.100000000035</v>
      </c>
      <c r="H131" s="484">
        <f t="shared" si="27"/>
        <v>13071.431177106733</v>
      </c>
      <c r="I131" s="540">
        <f t="shared" si="28"/>
        <v>13071.431177106733</v>
      </c>
      <c r="J131" s="476">
        <f t="shared" ref="J131:J154" si="30">+I541-H541</f>
        <v>0</v>
      </c>
      <c r="K131" s="476"/>
      <c r="L131" s="485"/>
      <c r="M131" s="476">
        <f t="shared" ref="M131:M154" si="31">IF(L541&lt;&gt;0,+H541-L541,0)</f>
        <v>0</v>
      </c>
      <c r="N131" s="485"/>
      <c r="O131" s="476">
        <f t="shared" ref="O131:O154" si="32">IF(N541&lt;&gt;0,+I541-N541,0)</f>
        <v>0</v>
      </c>
      <c r="P131" s="476">
        <f t="shared" ref="P131:P154" si="33">+O541-M541</f>
        <v>0</v>
      </c>
    </row>
    <row r="132" spans="2:16" ht="12.5">
      <c r="B132" s="160" t="str">
        <f t="shared" si="23"/>
        <v/>
      </c>
      <c r="C132" s="470">
        <f>IF(D93="","-",+C131+1)</f>
        <v>2051</v>
      </c>
      <c r="D132" s="345">
        <f>IF(F131+SUM(E$99:E131)=D$92,F131,D$92-SUM(E$99:E131))</f>
        <v>44081.100000000035</v>
      </c>
      <c r="E132" s="482">
        <f t="shared" si="24"/>
        <v>7602</v>
      </c>
      <c r="F132" s="483">
        <f t="shared" si="25"/>
        <v>36479.100000000035</v>
      </c>
      <c r="G132" s="483">
        <f t="shared" si="26"/>
        <v>40280.100000000035</v>
      </c>
      <c r="H132" s="484">
        <f t="shared" si="27"/>
        <v>12203.077119779144</v>
      </c>
      <c r="I132" s="540">
        <f t="shared" si="28"/>
        <v>12203.077119779144</v>
      </c>
      <c r="J132" s="476">
        <f t="shared" si="30"/>
        <v>0</v>
      </c>
      <c r="K132" s="476"/>
      <c r="L132" s="485"/>
      <c r="M132" s="476">
        <f t="shared" si="31"/>
        <v>0</v>
      </c>
      <c r="N132" s="485"/>
      <c r="O132" s="476">
        <f t="shared" si="32"/>
        <v>0</v>
      </c>
      <c r="P132" s="476">
        <f t="shared" si="33"/>
        <v>0</v>
      </c>
    </row>
    <row r="133" spans="2:16" ht="12.5">
      <c r="B133" s="160" t="str">
        <f t="shared" si="23"/>
        <v/>
      </c>
      <c r="C133" s="470">
        <f>IF(D93="","-",+C132+1)</f>
        <v>2052</v>
      </c>
      <c r="D133" s="345">
        <f>IF(F132+SUM(E$99:E132)=D$92,F132,D$92-SUM(E$99:E132))</f>
        <v>36479.100000000035</v>
      </c>
      <c r="E133" s="482">
        <f t="shared" si="24"/>
        <v>7602</v>
      </c>
      <c r="F133" s="483">
        <f t="shared" si="25"/>
        <v>28877.100000000035</v>
      </c>
      <c r="G133" s="483">
        <f t="shared" si="26"/>
        <v>32678.100000000035</v>
      </c>
      <c r="H133" s="484">
        <f t="shared" si="27"/>
        <v>11334.723062451556</v>
      </c>
      <c r="I133" s="540">
        <f t="shared" si="28"/>
        <v>11334.723062451556</v>
      </c>
      <c r="J133" s="476">
        <f t="shared" si="30"/>
        <v>0</v>
      </c>
      <c r="K133" s="476"/>
      <c r="L133" s="485"/>
      <c r="M133" s="476">
        <f t="shared" si="31"/>
        <v>0</v>
      </c>
      <c r="N133" s="485"/>
      <c r="O133" s="476">
        <f t="shared" si="32"/>
        <v>0</v>
      </c>
      <c r="P133" s="476">
        <f t="shared" si="33"/>
        <v>0</v>
      </c>
    </row>
    <row r="134" spans="2:16" ht="12.5">
      <c r="B134" s="160" t="str">
        <f t="shared" si="23"/>
        <v/>
      </c>
      <c r="C134" s="470">
        <f>IF(D93="","-",+C133+1)</f>
        <v>2053</v>
      </c>
      <c r="D134" s="345">
        <f>IF(F133+SUM(E$99:E133)=D$92,F133,D$92-SUM(E$99:E133))</f>
        <v>28877.100000000035</v>
      </c>
      <c r="E134" s="482">
        <f t="shared" si="24"/>
        <v>7602</v>
      </c>
      <c r="F134" s="483">
        <f t="shared" si="25"/>
        <v>21275.100000000035</v>
      </c>
      <c r="G134" s="483">
        <f t="shared" si="26"/>
        <v>25076.100000000035</v>
      </c>
      <c r="H134" s="484">
        <f t="shared" si="27"/>
        <v>10466.369005123966</v>
      </c>
      <c r="I134" s="540">
        <f t="shared" si="28"/>
        <v>10466.369005123966</v>
      </c>
      <c r="J134" s="476">
        <f t="shared" si="30"/>
        <v>0</v>
      </c>
      <c r="K134" s="476"/>
      <c r="L134" s="485"/>
      <c r="M134" s="476">
        <f t="shared" si="31"/>
        <v>0</v>
      </c>
      <c r="N134" s="485"/>
      <c r="O134" s="476">
        <f t="shared" si="32"/>
        <v>0</v>
      </c>
      <c r="P134" s="476">
        <f t="shared" si="33"/>
        <v>0</v>
      </c>
    </row>
    <row r="135" spans="2:16" ht="12.5">
      <c r="B135" s="160" t="str">
        <f t="shared" si="23"/>
        <v/>
      </c>
      <c r="C135" s="470">
        <f>IF(D93="","-",+C134+1)</f>
        <v>2054</v>
      </c>
      <c r="D135" s="345">
        <f>IF(F134+SUM(E$99:E134)=D$92,F134,D$92-SUM(E$99:E134))</f>
        <v>21275.100000000035</v>
      </c>
      <c r="E135" s="482">
        <f t="shared" si="24"/>
        <v>7602</v>
      </c>
      <c r="F135" s="483">
        <f t="shared" si="25"/>
        <v>13673.100000000035</v>
      </c>
      <c r="G135" s="483">
        <f t="shared" si="26"/>
        <v>17474.100000000035</v>
      </c>
      <c r="H135" s="484">
        <f t="shared" si="27"/>
        <v>9598.0149477963769</v>
      </c>
      <c r="I135" s="540">
        <f t="shared" si="28"/>
        <v>9598.0149477963769</v>
      </c>
      <c r="J135" s="476">
        <f t="shared" si="30"/>
        <v>0</v>
      </c>
      <c r="K135" s="476"/>
      <c r="L135" s="485"/>
      <c r="M135" s="476">
        <f t="shared" si="31"/>
        <v>0</v>
      </c>
      <c r="N135" s="485"/>
      <c r="O135" s="476">
        <f t="shared" si="32"/>
        <v>0</v>
      </c>
      <c r="P135" s="476">
        <f t="shared" si="33"/>
        <v>0</v>
      </c>
    </row>
    <row r="136" spans="2:16" ht="12.5">
      <c r="B136" s="160" t="str">
        <f t="shared" si="23"/>
        <v/>
      </c>
      <c r="C136" s="470">
        <f>IF(D93="","-",+C135+1)</f>
        <v>2055</v>
      </c>
      <c r="D136" s="345">
        <f>IF(F135+SUM(E$99:E135)=D$92,F135,D$92-SUM(E$99:E135))</f>
        <v>13673.100000000035</v>
      </c>
      <c r="E136" s="482">
        <f t="shared" si="24"/>
        <v>7602</v>
      </c>
      <c r="F136" s="483">
        <f t="shared" si="25"/>
        <v>6071.1000000000349</v>
      </c>
      <c r="G136" s="483">
        <f t="shared" si="26"/>
        <v>9872.1000000000349</v>
      </c>
      <c r="H136" s="484">
        <f t="shared" si="27"/>
        <v>8729.6608904687873</v>
      </c>
      <c r="I136" s="540">
        <f t="shared" si="28"/>
        <v>8729.6608904687873</v>
      </c>
      <c r="J136" s="476">
        <f t="shared" si="30"/>
        <v>0</v>
      </c>
      <c r="K136" s="476"/>
      <c r="L136" s="485"/>
      <c r="M136" s="476">
        <f t="shared" si="31"/>
        <v>0</v>
      </c>
      <c r="N136" s="485"/>
      <c r="O136" s="476">
        <f t="shared" si="32"/>
        <v>0</v>
      </c>
      <c r="P136" s="476">
        <f t="shared" si="33"/>
        <v>0</v>
      </c>
    </row>
    <row r="137" spans="2:16" ht="12.5">
      <c r="B137" s="160" t="str">
        <f t="shared" si="23"/>
        <v/>
      </c>
      <c r="C137" s="470">
        <f>IF(D93="","-",+C136+1)</f>
        <v>2056</v>
      </c>
      <c r="D137" s="345">
        <f>IF(F136+SUM(E$99:E136)=D$92,F136,D$92-SUM(E$99:E136))</f>
        <v>6071.1000000000349</v>
      </c>
      <c r="E137" s="482">
        <f t="shared" si="24"/>
        <v>6071.1000000000349</v>
      </c>
      <c r="F137" s="483">
        <f t="shared" si="25"/>
        <v>0</v>
      </c>
      <c r="G137" s="483">
        <f t="shared" si="26"/>
        <v>3035.5500000000175</v>
      </c>
      <c r="H137" s="484">
        <f t="shared" si="27"/>
        <v>6417.8419309025312</v>
      </c>
      <c r="I137" s="540">
        <f t="shared" si="28"/>
        <v>6417.8419309025312</v>
      </c>
      <c r="J137" s="476">
        <f t="shared" si="30"/>
        <v>0</v>
      </c>
      <c r="K137" s="476"/>
      <c r="L137" s="485"/>
      <c r="M137" s="476">
        <f t="shared" si="31"/>
        <v>0</v>
      </c>
      <c r="N137" s="485"/>
      <c r="O137" s="476">
        <f t="shared" si="32"/>
        <v>0</v>
      </c>
      <c r="P137" s="476">
        <f t="shared" si="33"/>
        <v>0</v>
      </c>
    </row>
    <row r="138" spans="2:16" ht="12.5">
      <c r="B138" s="160" t="str">
        <f t="shared" si="23"/>
        <v/>
      </c>
      <c r="C138" s="470">
        <f>IF(D93="","-",+C137+1)</f>
        <v>2057</v>
      </c>
      <c r="D138" s="345">
        <f>IF(F137+SUM(E$99:E137)=D$92,F137,D$92-SUM(E$99:E137))</f>
        <v>0</v>
      </c>
      <c r="E138" s="482">
        <f t="shared" si="24"/>
        <v>0</v>
      </c>
      <c r="F138" s="483">
        <f t="shared" si="25"/>
        <v>0</v>
      </c>
      <c r="G138" s="483">
        <f t="shared" si="26"/>
        <v>0</v>
      </c>
      <c r="H138" s="484">
        <f t="shared" si="27"/>
        <v>0</v>
      </c>
      <c r="I138" s="540">
        <f t="shared" si="28"/>
        <v>0</v>
      </c>
      <c r="J138" s="476">
        <f t="shared" si="30"/>
        <v>0</v>
      </c>
      <c r="K138" s="476"/>
      <c r="L138" s="485"/>
      <c r="M138" s="476">
        <f t="shared" si="31"/>
        <v>0</v>
      </c>
      <c r="N138" s="485"/>
      <c r="O138" s="476">
        <f t="shared" si="32"/>
        <v>0</v>
      </c>
      <c r="P138" s="476">
        <f t="shared" si="33"/>
        <v>0</v>
      </c>
    </row>
    <row r="139" spans="2:16" ht="12.5">
      <c r="B139" s="160" t="str">
        <f t="shared" si="23"/>
        <v/>
      </c>
      <c r="C139" s="470">
        <f>IF(D93="","-",+C138+1)</f>
        <v>2058</v>
      </c>
      <c r="D139" s="345">
        <f>IF(F138+SUM(E$99:E138)=D$92,F138,D$92-SUM(E$99:E138))</f>
        <v>0</v>
      </c>
      <c r="E139" s="482">
        <f t="shared" si="24"/>
        <v>0</v>
      </c>
      <c r="F139" s="483">
        <f t="shared" si="25"/>
        <v>0</v>
      </c>
      <c r="G139" s="483">
        <f t="shared" si="26"/>
        <v>0</v>
      </c>
      <c r="H139" s="484">
        <f t="shared" si="27"/>
        <v>0</v>
      </c>
      <c r="I139" s="540">
        <f t="shared" si="28"/>
        <v>0</v>
      </c>
      <c r="J139" s="476">
        <f t="shared" si="30"/>
        <v>0</v>
      </c>
      <c r="K139" s="476"/>
      <c r="L139" s="485"/>
      <c r="M139" s="476">
        <f t="shared" si="31"/>
        <v>0</v>
      </c>
      <c r="N139" s="485"/>
      <c r="O139" s="476">
        <f t="shared" si="32"/>
        <v>0</v>
      </c>
      <c r="P139" s="476">
        <f t="shared" si="33"/>
        <v>0</v>
      </c>
    </row>
    <row r="140" spans="2:16" ht="12.5">
      <c r="B140" s="160" t="str">
        <f t="shared" si="23"/>
        <v/>
      </c>
      <c r="C140" s="470">
        <f>IF(D93="","-",+C139+1)</f>
        <v>2059</v>
      </c>
      <c r="D140" s="345">
        <f>IF(F139+SUM(E$99:E139)=D$92,F139,D$92-SUM(E$99:E139))</f>
        <v>0</v>
      </c>
      <c r="E140" s="482">
        <f t="shared" si="24"/>
        <v>0</v>
      </c>
      <c r="F140" s="483">
        <f t="shared" si="25"/>
        <v>0</v>
      </c>
      <c r="G140" s="483">
        <f t="shared" si="26"/>
        <v>0</v>
      </c>
      <c r="H140" s="484">
        <f t="shared" si="27"/>
        <v>0</v>
      </c>
      <c r="I140" s="540">
        <f t="shared" si="28"/>
        <v>0</v>
      </c>
      <c r="J140" s="476">
        <f t="shared" si="30"/>
        <v>0</v>
      </c>
      <c r="K140" s="476"/>
      <c r="L140" s="485"/>
      <c r="M140" s="476">
        <f t="shared" si="31"/>
        <v>0</v>
      </c>
      <c r="N140" s="485"/>
      <c r="O140" s="476">
        <f t="shared" si="32"/>
        <v>0</v>
      </c>
      <c r="P140" s="476">
        <f t="shared" si="33"/>
        <v>0</v>
      </c>
    </row>
    <row r="141" spans="2:16" ht="12.5">
      <c r="B141" s="160" t="str">
        <f t="shared" si="23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4"/>
        <v>0</v>
      </c>
      <c r="F141" s="483">
        <f t="shared" si="25"/>
        <v>0</v>
      </c>
      <c r="G141" s="483">
        <f t="shared" si="26"/>
        <v>0</v>
      </c>
      <c r="H141" s="484">
        <f t="shared" si="27"/>
        <v>0</v>
      </c>
      <c r="I141" s="540">
        <f t="shared" si="28"/>
        <v>0</v>
      </c>
      <c r="J141" s="476">
        <f t="shared" si="30"/>
        <v>0</v>
      </c>
      <c r="K141" s="476"/>
      <c r="L141" s="485"/>
      <c r="M141" s="476">
        <f t="shared" si="31"/>
        <v>0</v>
      </c>
      <c r="N141" s="485"/>
      <c r="O141" s="476">
        <f t="shared" si="32"/>
        <v>0</v>
      </c>
      <c r="P141" s="476">
        <f t="shared" si="33"/>
        <v>0</v>
      </c>
    </row>
    <row r="142" spans="2:16" ht="12.5">
      <c r="B142" s="160" t="str">
        <f t="shared" si="23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4"/>
        <v>0</v>
      </c>
      <c r="F142" s="483">
        <f t="shared" si="25"/>
        <v>0</v>
      </c>
      <c r="G142" s="483">
        <f t="shared" si="26"/>
        <v>0</v>
      </c>
      <c r="H142" s="484">
        <f t="shared" si="27"/>
        <v>0</v>
      </c>
      <c r="I142" s="540">
        <f t="shared" si="28"/>
        <v>0</v>
      </c>
      <c r="J142" s="476">
        <f t="shared" si="30"/>
        <v>0</v>
      </c>
      <c r="K142" s="476"/>
      <c r="L142" s="485"/>
      <c r="M142" s="476">
        <f t="shared" si="31"/>
        <v>0</v>
      </c>
      <c r="N142" s="485"/>
      <c r="O142" s="476">
        <f t="shared" si="32"/>
        <v>0</v>
      </c>
      <c r="P142" s="476">
        <f t="shared" si="33"/>
        <v>0</v>
      </c>
    </row>
    <row r="143" spans="2:16" ht="12.5">
      <c r="B143" s="160" t="str">
        <f t="shared" si="23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4"/>
        <v>0</v>
      </c>
      <c r="F143" s="483">
        <f t="shared" si="25"/>
        <v>0</v>
      </c>
      <c r="G143" s="483">
        <f t="shared" si="26"/>
        <v>0</v>
      </c>
      <c r="H143" s="484">
        <f t="shared" si="27"/>
        <v>0</v>
      </c>
      <c r="I143" s="540">
        <f t="shared" si="28"/>
        <v>0</v>
      </c>
      <c r="J143" s="476">
        <f t="shared" si="30"/>
        <v>0</v>
      </c>
      <c r="K143" s="476"/>
      <c r="L143" s="485"/>
      <c r="M143" s="476">
        <f t="shared" si="31"/>
        <v>0</v>
      </c>
      <c r="N143" s="485"/>
      <c r="O143" s="476">
        <f t="shared" si="32"/>
        <v>0</v>
      </c>
      <c r="P143" s="476">
        <f t="shared" si="33"/>
        <v>0</v>
      </c>
    </row>
    <row r="144" spans="2:16" ht="12.5">
      <c r="B144" s="160" t="str">
        <f t="shared" si="23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4"/>
        <v>0</v>
      </c>
      <c r="F144" s="483">
        <f t="shared" si="25"/>
        <v>0</v>
      </c>
      <c r="G144" s="483">
        <f t="shared" si="26"/>
        <v>0</v>
      </c>
      <c r="H144" s="484">
        <f t="shared" si="27"/>
        <v>0</v>
      </c>
      <c r="I144" s="540">
        <f t="shared" si="28"/>
        <v>0</v>
      </c>
      <c r="J144" s="476">
        <f t="shared" si="30"/>
        <v>0</v>
      </c>
      <c r="K144" s="476"/>
      <c r="L144" s="485"/>
      <c r="M144" s="476">
        <f t="shared" si="31"/>
        <v>0</v>
      </c>
      <c r="N144" s="485"/>
      <c r="O144" s="476">
        <f t="shared" si="32"/>
        <v>0</v>
      </c>
      <c r="P144" s="476">
        <f t="shared" si="33"/>
        <v>0</v>
      </c>
    </row>
    <row r="145" spans="2:16" ht="12.5">
      <c r="B145" s="160" t="str">
        <f t="shared" si="23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4"/>
        <v>0</v>
      </c>
      <c r="F145" s="483">
        <f t="shared" si="25"/>
        <v>0</v>
      </c>
      <c r="G145" s="483">
        <f t="shared" si="26"/>
        <v>0</v>
      </c>
      <c r="H145" s="484">
        <f t="shared" si="27"/>
        <v>0</v>
      </c>
      <c r="I145" s="540">
        <f t="shared" si="28"/>
        <v>0</v>
      </c>
      <c r="J145" s="476">
        <f t="shared" si="30"/>
        <v>0</v>
      </c>
      <c r="K145" s="476"/>
      <c r="L145" s="485"/>
      <c r="M145" s="476">
        <f t="shared" si="31"/>
        <v>0</v>
      </c>
      <c r="N145" s="485"/>
      <c r="O145" s="476">
        <f t="shared" si="32"/>
        <v>0</v>
      </c>
      <c r="P145" s="476">
        <f t="shared" si="33"/>
        <v>0</v>
      </c>
    </row>
    <row r="146" spans="2:16" ht="12.5">
      <c r="B146" s="160" t="str">
        <f t="shared" si="23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4"/>
        <v>0</v>
      </c>
      <c r="F146" s="483">
        <f t="shared" si="25"/>
        <v>0</v>
      </c>
      <c r="G146" s="483">
        <f t="shared" si="26"/>
        <v>0</v>
      </c>
      <c r="H146" s="484">
        <f t="shared" si="27"/>
        <v>0</v>
      </c>
      <c r="I146" s="540">
        <f t="shared" si="28"/>
        <v>0</v>
      </c>
      <c r="J146" s="476">
        <f t="shared" si="30"/>
        <v>0</v>
      </c>
      <c r="K146" s="476"/>
      <c r="L146" s="485"/>
      <c r="M146" s="476">
        <f t="shared" si="31"/>
        <v>0</v>
      </c>
      <c r="N146" s="485"/>
      <c r="O146" s="476">
        <f t="shared" si="32"/>
        <v>0</v>
      </c>
      <c r="P146" s="476">
        <f t="shared" si="33"/>
        <v>0</v>
      </c>
    </row>
    <row r="147" spans="2:16" ht="12.5">
      <c r="B147" s="160" t="str">
        <f t="shared" si="23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4"/>
        <v>0</v>
      </c>
      <c r="F147" s="483">
        <f t="shared" si="25"/>
        <v>0</v>
      </c>
      <c r="G147" s="483">
        <f t="shared" si="26"/>
        <v>0</v>
      </c>
      <c r="H147" s="484">
        <f t="shared" si="27"/>
        <v>0</v>
      </c>
      <c r="I147" s="540">
        <f t="shared" si="28"/>
        <v>0</v>
      </c>
      <c r="J147" s="476">
        <f t="shared" si="30"/>
        <v>0</v>
      </c>
      <c r="K147" s="476"/>
      <c r="L147" s="485"/>
      <c r="M147" s="476">
        <f t="shared" si="31"/>
        <v>0</v>
      </c>
      <c r="N147" s="485"/>
      <c r="O147" s="476">
        <f t="shared" si="32"/>
        <v>0</v>
      </c>
      <c r="P147" s="476">
        <f t="shared" si="33"/>
        <v>0</v>
      </c>
    </row>
    <row r="148" spans="2:16" ht="12.5">
      <c r="B148" s="160" t="str">
        <f t="shared" si="23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4"/>
        <v>0</v>
      </c>
      <c r="F148" s="483">
        <f t="shared" si="25"/>
        <v>0</v>
      </c>
      <c r="G148" s="483">
        <f t="shared" si="26"/>
        <v>0</v>
      </c>
      <c r="H148" s="484">
        <f t="shared" si="27"/>
        <v>0</v>
      </c>
      <c r="I148" s="540">
        <f t="shared" si="28"/>
        <v>0</v>
      </c>
      <c r="J148" s="476">
        <f t="shared" si="30"/>
        <v>0</v>
      </c>
      <c r="K148" s="476"/>
      <c r="L148" s="485"/>
      <c r="M148" s="476">
        <f t="shared" si="31"/>
        <v>0</v>
      </c>
      <c r="N148" s="485"/>
      <c r="O148" s="476">
        <f t="shared" si="32"/>
        <v>0</v>
      </c>
      <c r="P148" s="476">
        <f t="shared" si="33"/>
        <v>0</v>
      </c>
    </row>
    <row r="149" spans="2:16" ht="12.5">
      <c r="B149" s="160" t="str">
        <f t="shared" si="23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4"/>
        <v>0</v>
      </c>
      <c r="F149" s="483">
        <f t="shared" si="25"/>
        <v>0</v>
      </c>
      <c r="G149" s="483">
        <f t="shared" si="26"/>
        <v>0</v>
      </c>
      <c r="H149" s="484">
        <f t="shared" si="27"/>
        <v>0</v>
      </c>
      <c r="I149" s="540">
        <f t="shared" si="28"/>
        <v>0</v>
      </c>
      <c r="J149" s="476">
        <f t="shared" si="30"/>
        <v>0</v>
      </c>
      <c r="K149" s="476"/>
      <c r="L149" s="485"/>
      <c r="M149" s="476">
        <f t="shared" si="31"/>
        <v>0</v>
      </c>
      <c r="N149" s="485"/>
      <c r="O149" s="476">
        <f t="shared" si="32"/>
        <v>0</v>
      </c>
      <c r="P149" s="476">
        <f t="shared" si="33"/>
        <v>0</v>
      </c>
    </row>
    <row r="150" spans="2:16" ht="12.5">
      <c r="B150" s="160" t="str">
        <f t="shared" si="23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4"/>
        <v>0</v>
      </c>
      <c r="F150" s="483">
        <f t="shared" si="25"/>
        <v>0</v>
      </c>
      <c r="G150" s="483">
        <f t="shared" si="26"/>
        <v>0</v>
      </c>
      <c r="H150" s="484">
        <f t="shared" si="27"/>
        <v>0</v>
      </c>
      <c r="I150" s="540">
        <f t="shared" si="28"/>
        <v>0</v>
      </c>
      <c r="J150" s="476">
        <f t="shared" si="30"/>
        <v>0</v>
      </c>
      <c r="K150" s="476"/>
      <c r="L150" s="485"/>
      <c r="M150" s="476">
        <f t="shared" si="31"/>
        <v>0</v>
      </c>
      <c r="N150" s="485"/>
      <c r="O150" s="476">
        <f t="shared" si="32"/>
        <v>0</v>
      </c>
      <c r="P150" s="476">
        <f t="shared" si="33"/>
        <v>0</v>
      </c>
    </row>
    <row r="151" spans="2:16" ht="12.5">
      <c r="B151" s="160" t="str">
        <f t="shared" si="23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4"/>
        <v>0</v>
      </c>
      <c r="F151" s="483">
        <f t="shared" si="25"/>
        <v>0</v>
      </c>
      <c r="G151" s="483">
        <f t="shared" si="26"/>
        <v>0</v>
      </c>
      <c r="H151" s="484">
        <f t="shared" si="27"/>
        <v>0</v>
      </c>
      <c r="I151" s="540">
        <f t="shared" si="28"/>
        <v>0</v>
      </c>
      <c r="J151" s="476">
        <f t="shared" si="30"/>
        <v>0</v>
      </c>
      <c r="K151" s="476"/>
      <c r="L151" s="485"/>
      <c r="M151" s="476">
        <f t="shared" si="31"/>
        <v>0</v>
      </c>
      <c r="N151" s="485"/>
      <c r="O151" s="476">
        <f t="shared" si="32"/>
        <v>0</v>
      </c>
      <c r="P151" s="476">
        <f t="shared" si="33"/>
        <v>0</v>
      </c>
    </row>
    <row r="152" spans="2:16" ht="12.5">
      <c r="B152" s="160" t="str">
        <f t="shared" si="23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4"/>
        <v>0</v>
      </c>
      <c r="F152" s="483">
        <f t="shared" si="25"/>
        <v>0</v>
      </c>
      <c r="G152" s="483">
        <f t="shared" si="26"/>
        <v>0</v>
      </c>
      <c r="H152" s="484">
        <f t="shared" si="27"/>
        <v>0</v>
      </c>
      <c r="I152" s="540">
        <f t="shared" si="28"/>
        <v>0</v>
      </c>
      <c r="J152" s="476">
        <f t="shared" si="30"/>
        <v>0</v>
      </c>
      <c r="K152" s="476"/>
      <c r="L152" s="485"/>
      <c r="M152" s="476">
        <f t="shared" si="31"/>
        <v>0</v>
      </c>
      <c r="N152" s="485"/>
      <c r="O152" s="476">
        <f t="shared" si="32"/>
        <v>0</v>
      </c>
      <c r="P152" s="476">
        <f t="shared" si="33"/>
        <v>0</v>
      </c>
    </row>
    <row r="153" spans="2:16" ht="12.5">
      <c r="B153" s="160" t="str">
        <f t="shared" si="23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4"/>
        <v>0</v>
      </c>
      <c r="F153" s="483">
        <f t="shared" si="25"/>
        <v>0</v>
      </c>
      <c r="G153" s="483">
        <f t="shared" si="26"/>
        <v>0</v>
      </c>
      <c r="H153" s="484">
        <f t="shared" si="27"/>
        <v>0</v>
      </c>
      <c r="I153" s="540">
        <f t="shared" si="28"/>
        <v>0</v>
      </c>
      <c r="J153" s="476">
        <f t="shared" si="30"/>
        <v>0</v>
      </c>
      <c r="K153" s="476"/>
      <c r="L153" s="485"/>
      <c r="M153" s="476">
        <f t="shared" si="31"/>
        <v>0</v>
      </c>
      <c r="N153" s="485"/>
      <c r="O153" s="476">
        <f t="shared" si="32"/>
        <v>0</v>
      </c>
      <c r="P153" s="476">
        <f t="shared" si="33"/>
        <v>0</v>
      </c>
    </row>
    <row r="154" spans="2:16" ht="13" thickBot="1">
      <c r="B154" s="160" t="str">
        <f t="shared" si="23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4"/>
        <v>0</v>
      </c>
      <c r="F154" s="488">
        <f t="shared" si="25"/>
        <v>0</v>
      </c>
      <c r="G154" s="488">
        <f t="shared" si="26"/>
        <v>0</v>
      </c>
      <c r="H154" s="610">
        <f t="shared" ref="H154" si="34">+J$94*G154+E154</f>
        <v>0</v>
      </c>
      <c r="I154" s="611">
        <f t="shared" ref="I154" si="35">+J$95*G154+E154</f>
        <v>0</v>
      </c>
      <c r="J154" s="493">
        <f t="shared" si="30"/>
        <v>0</v>
      </c>
      <c r="K154" s="476"/>
      <c r="L154" s="492"/>
      <c r="M154" s="493">
        <f t="shared" si="31"/>
        <v>0</v>
      </c>
      <c r="N154" s="492"/>
      <c r="O154" s="493">
        <f t="shared" si="32"/>
        <v>0</v>
      </c>
      <c r="P154" s="493">
        <f t="shared" si="33"/>
        <v>0</v>
      </c>
    </row>
    <row r="155" spans="2:16" ht="12.5">
      <c r="C155" s="345" t="s">
        <v>77</v>
      </c>
      <c r="D155" s="346"/>
      <c r="E155" s="346">
        <f>SUM(E99:E154)</f>
        <v>288859.60000000003</v>
      </c>
      <c r="F155" s="346"/>
      <c r="G155" s="346"/>
      <c r="H155" s="346">
        <f>SUM(H99:H154)</f>
        <v>921294.05278286478</v>
      </c>
      <c r="I155" s="346">
        <f>SUM(I99:I154)</f>
        <v>921294.05278286478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62"/>
  <sheetViews>
    <sheetView topLeftCell="A61" zoomScale="86" zoomScaleNormal="86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26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1099277.167336459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1099277.167336459</v>
      </c>
      <c r="O6" s="231"/>
      <c r="P6" s="231"/>
    </row>
    <row r="7" spans="1:16" ht="13.5" thickBot="1">
      <c r="C7" s="429" t="s">
        <v>46</v>
      </c>
      <c r="D7" s="104" t="s">
        <v>327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329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8147276.8700000001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2019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208904.53512820514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2019</v>
      </c>
      <c r="D17" s="582">
        <v>0</v>
      </c>
      <c r="E17" s="605">
        <v>0</v>
      </c>
      <c r="F17" s="582">
        <v>5024000</v>
      </c>
      <c r="G17" s="605">
        <v>280481.45781944925</v>
      </c>
      <c r="H17" s="585">
        <v>280481.45781944925</v>
      </c>
      <c r="I17" s="473">
        <f>H17-G17</f>
        <v>0</v>
      </c>
      <c r="J17" s="473"/>
      <c r="K17" s="552">
        <f>+G17</f>
        <v>280481.45781944925</v>
      </c>
      <c r="L17" s="475">
        <f t="shared" ref="L17:L18" si="0">IF(K17&lt;&gt;0,+G17-K17,0)</f>
        <v>0</v>
      </c>
      <c r="M17" s="552">
        <f>+H17</f>
        <v>280481.45781944925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2020</v>
      </c>
      <c r="D18" s="582">
        <v>7156000</v>
      </c>
      <c r="E18" s="583">
        <v>170380.95238095237</v>
      </c>
      <c r="F18" s="582">
        <v>6985619.0476190476</v>
      </c>
      <c r="G18" s="583">
        <v>934062.15757277235</v>
      </c>
      <c r="H18" s="585">
        <v>934062.15757277235</v>
      </c>
      <c r="I18" s="473">
        <f>H18-G18</f>
        <v>0</v>
      </c>
      <c r="J18" s="473"/>
      <c r="K18" s="476">
        <f>+G18</f>
        <v>934062.15757277235</v>
      </c>
      <c r="L18" s="476">
        <f t="shared" si="0"/>
        <v>0</v>
      </c>
      <c r="M18" s="476">
        <f>+H18</f>
        <v>934062.15757277235</v>
      </c>
      <c r="N18" s="476">
        <f t="shared" si="1"/>
        <v>0</v>
      </c>
      <c r="O18" s="476">
        <f t="shared" si="2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2021</v>
      </c>
      <c r="D19" s="582">
        <v>9239264.0476190485</v>
      </c>
      <c r="E19" s="583">
        <v>218828.95348837209</v>
      </c>
      <c r="F19" s="582">
        <v>9020435.0941306762</v>
      </c>
      <c r="G19" s="583">
        <v>1203224.4158022963</v>
      </c>
      <c r="H19" s="585">
        <v>1203224.4158022963</v>
      </c>
      <c r="I19" s="473">
        <f t="shared" ref="I19:I71" si="3">H19-G19</f>
        <v>0</v>
      </c>
      <c r="J19" s="473"/>
      <c r="K19" s="476">
        <f>+G19</f>
        <v>1203224.4158022963</v>
      </c>
      <c r="L19" s="476">
        <f t="shared" ref="L19" si="4">IF(K19&lt;&gt;0,+G19-K19,0)</f>
        <v>0</v>
      </c>
      <c r="M19" s="476">
        <f>+H19</f>
        <v>1203224.4158022963</v>
      </c>
      <c r="N19" s="476">
        <f t="shared" si="1"/>
        <v>0</v>
      </c>
      <c r="O19" s="476">
        <f t="shared" si="2"/>
        <v>0</v>
      </c>
      <c r="P19" s="241"/>
    </row>
    <row r="20" spans="2:16" ht="12.5">
      <c r="B20" s="160" t="str">
        <f t="shared" ref="B20:B72" si="5">IF(D20=F19,"","IU")</f>
        <v>IU</v>
      </c>
      <c r="C20" s="470">
        <f>IF(D11="","-",+C19+1)</f>
        <v>2022</v>
      </c>
      <c r="D20" s="582">
        <v>7758491.0941306753</v>
      </c>
      <c r="E20" s="583">
        <v>193992.88095238095</v>
      </c>
      <c r="F20" s="582">
        <v>7564498.2131782947</v>
      </c>
      <c r="G20" s="583">
        <v>1019988.1643084703</v>
      </c>
      <c r="H20" s="585">
        <v>1019988.1643084703</v>
      </c>
      <c r="I20" s="473">
        <f t="shared" si="3"/>
        <v>0</v>
      </c>
      <c r="J20" s="473"/>
      <c r="K20" s="476">
        <f>+G20</f>
        <v>1019988.1643084703</v>
      </c>
      <c r="L20" s="476">
        <f t="shared" ref="L20" si="6">IF(K20&lt;&gt;0,+G20-K20,0)</f>
        <v>0</v>
      </c>
      <c r="M20" s="476">
        <f>+H20</f>
        <v>1019988.1643084703</v>
      </c>
      <c r="N20" s="476">
        <f t="shared" si="1"/>
        <v>0</v>
      </c>
      <c r="O20" s="476">
        <f t="shared" si="2"/>
        <v>0</v>
      </c>
      <c r="P20" s="241"/>
    </row>
    <row r="21" spans="2:16" ht="12.5">
      <c r="B21" s="160" t="str">
        <f t="shared" si="5"/>
        <v>IU</v>
      </c>
      <c r="C21" s="470">
        <f>IF(D11="","-",+C20+1)</f>
        <v>2023</v>
      </c>
      <c r="D21" s="582">
        <v>7564074.0831782948</v>
      </c>
      <c r="E21" s="583">
        <v>208904.53512820514</v>
      </c>
      <c r="F21" s="582">
        <v>7355169.5480500897</v>
      </c>
      <c r="G21" s="583">
        <v>1099277.167336459</v>
      </c>
      <c r="H21" s="585">
        <v>1099277.167336459</v>
      </c>
      <c r="I21" s="473">
        <f t="shared" si="3"/>
        <v>0</v>
      </c>
      <c r="J21" s="473"/>
      <c r="K21" s="476">
        <f>+G21</f>
        <v>1099277.167336459</v>
      </c>
      <c r="L21" s="476">
        <f t="shared" ref="L21" si="7">IF(K21&lt;&gt;0,+G21-K21,0)</f>
        <v>0</v>
      </c>
      <c r="M21" s="476">
        <f>+H21</f>
        <v>1099277.167336459</v>
      </c>
      <c r="N21" s="476">
        <f t="shared" si="1"/>
        <v>0</v>
      </c>
      <c r="O21" s="476">
        <f t="shared" si="2"/>
        <v>0</v>
      </c>
      <c r="P21" s="241"/>
    </row>
    <row r="22" spans="2:16" ht="12.5">
      <c r="B22" s="160" t="str">
        <f t="shared" si="5"/>
        <v/>
      </c>
      <c r="C22" s="470">
        <f>IF(D11="","-",+C21+1)</f>
        <v>2024</v>
      </c>
      <c r="D22" s="481">
        <f>IF(F21+SUM(E$17:E21)=D$10,F21,D$10-SUM(E$17:E21))</f>
        <v>7355169.5480500897</v>
      </c>
      <c r="E22" s="482">
        <f t="shared" ref="E22:E71" si="8">IF(+I$14&lt;F21,I$14,D22)</f>
        <v>208904.53512820514</v>
      </c>
      <c r="F22" s="483">
        <f t="shared" ref="F22:F71" si="9">+D22-E22</f>
        <v>7146265.0129218847</v>
      </c>
      <c r="G22" s="484">
        <f t="shared" ref="G22:G71" si="10">(D22+F22)/2*I$12+E22</f>
        <v>1074342.5412361107</v>
      </c>
      <c r="H22" s="453">
        <f t="shared" ref="H22:H71" si="11">+(D22+F22)/2*I$13+E22</f>
        <v>1074342.5412361107</v>
      </c>
      <c r="I22" s="473">
        <f t="shared" si="3"/>
        <v>0</v>
      </c>
      <c r="J22" s="473"/>
      <c r="K22" s="485"/>
      <c r="L22" s="476">
        <f t="shared" ref="L22:L72" si="12">IF(K22&lt;&gt;0,+G22-K22,0)</f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 ht="12.5">
      <c r="B23" s="160" t="str">
        <f t="shared" si="5"/>
        <v/>
      </c>
      <c r="C23" s="470">
        <f>IF(D11="","-",+C22+1)</f>
        <v>2025</v>
      </c>
      <c r="D23" s="481">
        <f>IF(F22+SUM(E$17:E22)=D$10,F22,D$10-SUM(E$17:E22))</f>
        <v>7146265.0129218847</v>
      </c>
      <c r="E23" s="482">
        <f t="shared" si="8"/>
        <v>208904.53512820514</v>
      </c>
      <c r="F23" s="483">
        <f t="shared" si="9"/>
        <v>6937360.4777936796</v>
      </c>
      <c r="G23" s="484">
        <f t="shared" si="10"/>
        <v>1049407.9151357622</v>
      </c>
      <c r="H23" s="453">
        <f t="shared" si="11"/>
        <v>1049407.9151357622</v>
      </c>
      <c r="I23" s="473">
        <f t="shared" si="3"/>
        <v>0</v>
      </c>
      <c r="J23" s="473"/>
      <c r="K23" s="485"/>
      <c r="L23" s="476">
        <f t="shared" si="12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 ht="12.5">
      <c r="B24" s="160" t="str">
        <f t="shared" si="5"/>
        <v/>
      </c>
      <c r="C24" s="470">
        <f>IF(D11="","-",+C23+1)</f>
        <v>2026</v>
      </c>
      <c r="D24" s="481">
        <f>IF(F23+SUM(E$17:E23)=D$10,F23,D$10-SUM(E$17:E23))</f>
        <v>6937360.4777936796</v>
      </c>
      <c r="E24" s="482">
        <f t="shared" si="8"/>
        <v>208904.53512820514</v>
      </c>
      <c r="F24" s="483">
        <f t="shared" si="9"/>
        <v>6728455.9426654745</v>
      </c>
      <c r="G24" s="484">
        <f t="shared" si="10"/>
        <v>1024473.2890354141</v>
      </c>
      <c r="H24" s="453">
        <f t="shared" si="11"/>
        <v>1024473.2890354141</v>
      </c>
      <c r="I24" s="473">
        <f t="shared" si="3"/>
        <v>0</v>
      </c>
      <c r="J24" s="473"/>
      <c r="K24" s="485"/>
      <c r="L24" s="476">
        <f t="shared" si="12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 ht="12.5">
      <c r="B25" s="160" t="str">
        <f t="shared" si="5"/>
        <v/>
      </c>
      <c r="C25" s="470">
        <f>IF(D11="","-",+C24+1)</f>
        <v>2027</v>
      </c>
      <c r="D25" s="481">
        <f>IF(F24+SUM(E$17:E24)=D$10,F24,D$10-SUM(E$17:E24))</f>
        <v>6728455.9426654745</v>
      </c>
      <c r="E25" s="482">
        <f t="shared" si="8"/>
        <v>208904.53512820514</v>
      </c>
      <c r="F25" s="483">
        <f t="shared" si="9"/>
        <v>6519551.4075372694</v>
      </c>
      <c r="G25" s="484">
        <f t="shared" si="10"/>
        <v>999538.66293506557</v>
      </c>
      <c r="H25" s="453">
        <f t="shared" si="11"/>
        <v>999538.66293506557</v>
      </c>
      <c r="I25" s="473">
        <f t="shared" si="3"/>
        <v>0</v>
      </c>
      <c r="J25" s="473"/>
      <c r="K25" s="485"/>
      <c r="L25" s="476">
        <f t="shared" si="12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 ht="12.5">
      <c r="B26" s="160" t="str">
        <f t="shared" si="5"/>
        <v/>
      </c>
      <c r="C26" s="470">
        <f>IF(D11="","-",+C25+1)</f>
        <v>2028</v>
      </c>
      <c r="D26" s="481">
        <f>IF(F25+SUM(E$17:E25)=D$10,F25,D$10-SUM(E$17:E25))</f>
        <v>6519551.4075372694</v>
      </c>
      <c r="E26" s="482">
        <f t="shared" si="8"/>
        <v>208904.53512820514</v>
      </c>
      <c r="F26" s="483">
        <f t="shared" si="9"/>
        <v>6310646.8724090643</v>
      </c>
      <c r="G26" s="484">
        <f t="shared" si="10"/>
        <v>974604.03683471726</v>
      </c>
      <c r="H26" s="453">
        <f t="shared" si="11"/>
        <v>974604.03683471726</v>
      </c>
      <c r="I26" s="473">
        <f t="shared" si="3"/>
        <v>0</v>
      </c>
      <c r="J26" s="473"/>
      <c r="K26" s="485"/>
      <c r="L26" s="476">
        <f t="shared" si="12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 ht="12.5">
      <c r="B27" s="160" t="str">
        <f t="shared" si="5"/>
        <v/>
      </c>
      <c r="C27" s="470">
        <f>IF(D11="","-",+C26+1)</f>
        <v>2029</v>
      </c>
      <c r="D27" s="481">
        <f>IF(F26+SUM(E$17:E26)=D$10,F26,D$10-SUM(E$17:E26))</f>
        <v>6310646.8724090643</v>
      </c>
      <c r="E27" s="482">
        <f t="shared" si="8"/>
        <v>208904.53512820514</v>
      </c>
      <c r="F27" s="483">
        <f t="shared" si="9"/>
        <v>6101742.3372808592</v>
      </c>
      <c r="G27" s="484">
        <f t="shared" si="10"/>
        <v>949669.41073436895</v>
      </c>
      <c r="H27" s="453">
        <f t="shared" si="11"/>
        <v>949669.41073436895</v>
      </c>
      <c r="I27" s="473">
        <f t="shared" si="3"/>
        <v>0</v>
      </c>
      <c r="J27" s="473"/>
      <c r="K27" s="485"/>
      <c r="L27" s="476">
        <f t="shared" si="12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 ht="12.5">
      <c r="B28" s="160" t="str">
        <f t="shared" si="5"/>
        <v/>
      </c>
      <c r="C28" s="470">
        <f>IF(D11="","-",+C27+1)</f>
        <v>2030</v>
      </c>
      <c r="D28" s="481">
        <f>IF(F27+SUM(E$17:E27)=D$10,F27,D$10-SUM(E$17:E27))</f>
        <v>6101742.3372808592</v>
      </c>
      <c r="E28" s="482">
        <f t="shared" si="8"/>
        <v>208904.53512820514</v>
      </c>
      <c r="F28" s="483">
        <f t="shared" si="9"/>
        <v>5892837.8021526542</v>
      </c>
      <c r="G28" s="484">
        <f t="shared" si="10"/>
        <v>924734.78463402065</v>
      </c>
      <c r="H28" s="453">
        <f t="shared" si="11"/>
        <v>924734.78463402065</v>
      </c>
      <c r="I28" s="473">
        <f t="shared" si="3"/>
        <v>0</v>
      </c>
      <c r="J28" s="473"/>
      <c r="K28" s="485"/>
      <c r="L28" s="476">
        <f t="shared" si="12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 ht="12.5">
      <c r="B29" s="160" t="str">
        <f t="shared" si="5"/>
        <v/>
      </c>
      <c r="C29" s="470">
        <f>IF(D11="","-",+C28+1)</f>
        <v>2031</v>
      </c>
      <c r="D29" s="481">
        <f>IF(F28+SUM(E$17:E28)=D$10,F28,D$10-SUM(E$17:E28))</f>
        <v>5892837.8021526542</v>
      </c>
      <c r="E29" s="482">
        <f t="shared" si="8"/>
        <v>208904.53512820514</v>
      </c>
      <c r="F29" s="483">
        <f t="shared" si="9"/>
        <v>5683933.2670244491</v>
      </c>
      <c r="G29" s="484">
        <f t="shared" si="10"/>
        <v>899800.1585336721</v>
      </c>
      <c r="H29" s="453">
        <f t="shared" si="11"/>
        <v>899800.1585336721</v>
      </c>
      <c r="I29" s="473">
        <f t="shared" si="3"/>
        <v>0</v>
      </c>
      <c r="J29" s="473"/>
      <c r="K29" s="485"/>
      <c r="L29" s="476">
        <f t="shared" si="12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 ht="12.5">
      <c r="B30" s="160" t="str">
        <f t="shared" si="5"/>
        <v/>
      </c>
      <c r="C30" s="470">
        <f>IF(D11="","-",+C29+1)</f>
        <v>2032</v>
      </c>
      <c r="D30" s="481">
        <f>IF(F29+SUM(E$17:E29)=D$10,F29,D$10-SUM(E$17:E29))</f>
        <v>5683933.2670244491</v>
      </c>
      <c r="E30" s="482">
        <f t="shared" si="8"/>
        <v>208904.53512820514</v>
      </c>
      <c r="F30" s="483">
        <f t="shared" si="9"/>
        <v>5475028.731896244</v>
      </c>
      <c r="G30" s="484">
        <f t="shared" si="10"/>
        <v>874865.53243332379</v>
      </c>
      <c r="H30" s="453">
        <f t="shared" si="11"/>
        <v>874865.53243332379</v>
      </c>
      <c r="I30" s="473">
        <f t="shared" si="3"/>
        <v>0</v>
      </c>
      <c r="J30" s="473"/>
      <c r="K30" s="485"/>
      <c r="L30" s="476">
        <f t="shared" si="12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 ht="12.5">
      <c r="B31" s="160" t="str">
        <f t="shared" si="5"/>
        <v/>
      </c>
      <c r="C31" s="470">
        <f>IF(D11="","-",+C30+1)</f>
        <v>2033</v>
      </c>
      <c r="D31" s="481">
        <f>IF(F30+SUM(E$17:E30)=D$10,F30,D$10-SUM(E$17:E30))</f>
        <v>5475028.731896244</v>
      </c>
      <c r="E31" s="482">
        <f t="shared" si="8"/>
        <v>208904.53512820514</v>
      </c>
      <c r="F31" s="483">
        <f t="shared" si="9"/>
        <v>5266124.1967680389</v>
      </c>
      <c r="G31" s="484">
        <f t="shared" si="10"/>
        <v>849930.90633297549</v>
      </c>
      <c r="H31" s="453">
        <f t="shared" si="11"/>
        <v>849930.90633297549</v>
      </c>
      <c r="I31" s="473">
        <f t="shared" si="3"/>
        <v>0</v>
      </c>
      <c r="J31" s="473"/>
      <c r="K31" s="485"/>
      <c r="L31" s="476">
        <f t="shared" si="12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 ht="12.5">
      <c r="B32" s="160" t="str">
        <f t="shared" si="5"/>
        <v/>
      </c>
      <c r="C32" s="470">
        <f>IF(D11="","-",+C31+1)</f>
        <v>2034</v>
      </c>
      <c r="D32" s="481">
        <f>IF(F31+SUM(E$17:E31)=D$10,F31,D$10-SUM(E$17:E31))</f>
        <v>5266124.1967680389</v>
      </c>
      <c r="E32" s="482">
        <f t="shared" si="8"/>
        <v>208904.53512820514</v>
      </c>
      <c r="F32" s="483">
        <f t="shared" si="9"/>
        <v>5057219.6616398338</v>
      </c>
      <c r="G32" s="484">
        <f t="shared" si="10"/>
        <v>824996.28023262718</v>
      </c>
      <c r="H32" s="453">
        <f t="shared" si="11"/>
        <v>824996.28023262718</v>
      </c>
      <c r="I32" s="473">
        <f t="shared" si="3"/>
        <v>0</v>
      </c>
      <c r="J32" s="473"/>
      <c r="K32" s="485"/>
      <c r="L32" s="476">
        <f t="shared" si="12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 ht="12.5">
      <c r="B33" s="160" t="str">
        <f t="shared" si="5"/>
        <v/>
      </c>
      <c r="C33" s="470">
        <f>IF(D11="","-",+C32+1)</f>
        <v>2035</v>
      </c>
      <c r="D33" s="481">
        <f>IF(F32+SUM(E$17:E32)=D$10,F32,D$10-SUM(E$17:E32))</f>
        <v>5057219.6616398338</v>
      </c>
      <c r="E33" s="482">
        <f t="shared" si="8"/>
        <v>208904.53512820514</v>
      </c>
      <c r="F33" s="483">
        <f t="shared" si="9"/>
        <v>4848315.1265116287</v>
      </c>
      <c r="G33" s="484">
        <f t="shared" si="10"/>
        <v>800061.65413227864</v>
      </c>
      <c r="H33" s="453">
        <f t="shared" si="11"/>
        <v>800061.65413227864</v>
      </c>
      <c r="I33" s="473">
        <f t="shared" si="3"/>
        <v>0</v>
      </c>
      <c r="J33" s="473"/>
      <c r="K33" s="485"/>
      <c r="L33" s="476">
        <f t="shared" si="12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 ht="12.5">
      <c r="B34" s="160" t="str">
        <f t="shared" si="5"/>
        <v/>
      </c>
      <c r="C34" s="470">
        <f>IF(D11="","-",+C33+1)</f>
        <v>2036</v>
      </c>
      <c r="D34" s="481">
        <f>IF(F33+SUM(E$17:E33)=D$10,F33,D$10-SUM(E$17:E33))</f>
        <v>4848315.1265116287</v>
      </c>
      <c r="E34" s="482">
        <f t="shared" si="8"/>
        <v>208904.53512820514</v>
      </c>
      <c r="F34" s="483">
        <f t="shared" si="9"/>
        <v>4639410.5913834237</v>
      </c>
      <c r="G34" s="484">
        <f t="shared" si="10"/>
        <v>775127.02803193056</v>
      </c>
      <c r="H34" s="453">
        <f t="shared" si="11"/>
        <v>775127.02803193056</v>
      </c>
      <c r="I34" s="473">
        <f t="shared" si="3"/>
        <v>0</v>
      </c>
      <c r="J34" s="473"/>
      <c r="K34" s="485"/>
      <c r="L34" s="476">
        <f t="shared" si="12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 ht="12.5">
      <c r="B35" s="160" t="str">
        <f t="shared" si="5"/>
        <v/>
      </c>
      <c r="C35" s="470">
        <f>IF(D11="","-",+C34+1)</f>
        <v>2037</v>
      </c>
      <c r="D35" s="481">
        <f>IF(F34+SUM(E$17:E34)=D$10,F34,D$10-SUM(E$17:E34))</f>
        <v>4639410.5913834237</v>
      </c>
      <c r="E35" s="482">
        <f t="shared" si="8"/>
        <v>208904.53512820514</v>
      </c>
      <c r="F35" s="483">
        <f t="shared" si="9"/>
        <v>4430506.0562552186</v>
      </c>
      <c r="G35" s="484">
        <f t="shared" si="10"/>
        <v>750192.40193158202</v>
      </c>
      <c r="H35" s="453">
        <f t="shared" si="11"/>
        <v>750192.40193158202</v>
      </c>
      <c r="I35" s="473">
        <f t="shared" si="3"/>
        <v>0</v>
      </c>
      <c r="J35" s="473"/>
      <c r="K35" s="485"/>
      <c r="L35" s="476">
        <f t="shared" si="12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 ht="12.5">
      <c r="B36" s="160" t="str">
        <f t="shared" si="5"/>
        <v/>
      </c>
      <c r="C36" s="470">
        <f>IF(D11="","-",+C35+1)</f>
        <v>2038</v>
      </c>
      <c r="D36" s="481">
        <f>IF(F35+SUM(E$17:E35)=D$10,F35,D$10-SUM(E$17:E35))</f>
        <v>4430506.0562552186</v>
      </c>
      <c r="E36" s="482">
        <f t="shared" si="8"/>
        <v>208904.53512820514</v>
      </c>
      <c r="F36" s="483">
        <f t="shared" si="9"/>
        <v>4221601.5211270135</v>
      </c>
      <c r="G36" s="484">
        <f t="shared" si="10"/>
        <v>725257.77583123371</v>
      </c>
      <c r="H36" s="453">
        <f t="shared" si="11"/>
        <v>725257.77583123371</v>
      </c>
      <c r="I36" s="473">
        <f t="shared" si="3"/>
        <v>0</v>
      </c>
      <c r="J36" s="473"/>
      <c r="K36" s="485"/>
      <c r="L36" s="476">
        <f t="shared" si="12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 ht="12.5">
      <c r="B37" s="160" t="str">
        <f t="shared" si="5"/>
        <v/>
      </c>
      <c r="C37" s="470">
        <f>IF(D11="","-",+C36+1)</f>
        <v>2039</v>
      </c>
      <c r="D37" s="481">
        <f>IF(F36+SUM(E$17:E36)=D$10,F36,D$10-SUM(E$17:E36))</f>
        <v>4221601.5211270135</v>
      </c>
      <c r="E37" s="482">
        <f t="shared" si="8"/>
        <v>208904.53512820514</v>
      </c>
      <c r="F37" s="483">
        <f t="shared" si="9"/>
        <v>4012696.9859988084</v>
      </c>
      <c r="G37" s="484">
        <f t="shared" si="10"/>
        <v>700323.1497308854</v>
      </c>
      <c r="H37" s="453">
        <f t="shared" si="11"/>
        <v>700323.1497308854</v>
      </c>
      <c r="I37" s="473">
        <f t="shared" si="3"/>
        <v>0</v>
      </c>
      <c r="J37" s="473"/>
      <c r="K37" s="485"/>
      <c r="L37" s="476">
        <f t="shared" si="12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 ht="12.5">
      <c r="B38" s="160" t="str">
        <f t="shared" si="5"/>
        <v/>
      </c>
      <c r="C38" s="470">
        <f>IF(D11="","-",+C37+1)</f>
        <v>2040</v>
      </c>
      <c r="D38" s="481">
        <f>IF(F37+SUM(E$17:E37)=D$10,F37,D$10-SUM(E$17:E37))</f>
        <v>4012696.9859988084</v>
      </c>
      <c r="E38" s="482">
        <f t="shared" si="8"/>
        <v>208904.53512820514</v>
      </c>
      <c r="F38" s="483">
        <f t="shared" si="9"/>
        <v>3803792.4508706033</v>
      </c>
      <c r="G38" s="484">
        <f t="shared" si="10"/>
        <v>675388.52363053709</v>
      </c>
      <c r="H38" s="453">
        <f t="shared" si="11"/>
        <v>675388.52363053709</v>
      </c>
      <c r="I38" s="473">
        <f t="shared" si="3"/>
        <v>0</v>
      </c>
      <c r="J38" s="473"/>
      <c r="K38" s="485"/>
      <c r="L38" s="476">
        <f t="shared" si="12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 ht="12.5">
      <c r="B39" s="160" t="str">
        <f t="shared" si="5"/>
        <v/>
      </c>
      <c r="C39" s="470">
        <f>IF(D11="","-",+C38+1)</f>
        <v>2041</v>
      </c>
      <c r="D39" s="481">
        <f>IF(F38+SUM(E$17:E38)=D$10,F38,D$10-SUM(E$17:E38))</f>
        <v>3803792.4508706033</v>
      </c>
      <c r="E39" s="482">
        <f t="shared" si="8"/>
        <v>208904.53512820514</v>
      </c>
      <c r="F39" s="483">
        <f t="shared" si="9"/>
        <v>3594887.9157423982</v>
      </c>
      <c r="G39" s="484">
        <f t="shared" si="10"/>
        <v>650453.89753018867</v>
      </c>
      <c r="H39" s="453">
        <f t="shared" si="11"/>
        <v>650453.89753018867</v>
      </c>
      <c r="I39" s="473">
        <f t="shared" si="3"/>
        <v>0</v>
      </c>
      <c r="J39" s="473"/>
      <c r="K39" s="485"/>
      <c r="L39" s="476">
        <f t="shared" si="12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 ht="12.5">
      <c r="B40" s="160" t="str">
        <f t="shared" si="5"/>
        <v/>
      </c>
      <c r="C40" s="470">
        <f>IF(D11="","-",+C39+1)</f>
        <v>2042</v>
      </c>
      <c r="D40" s="481">
        <f>IF(F39+SUM(E$17:E39)=D$10,F39,D$10-SUM(E$17:E39))</f>
        <v>3594887.9157423982</v>
      </c>
      <c r="E40" s="482">
        <f t="shared" si="8"/>
        <v>208904.53512820514</v>
      </c>
      <c r="F40" s="483">
        <f t="shared" si="9"/>
        <v>3385983.3806141932</v>
      </c>
      <c r="G40" s="484">
        <f t="shared" si="10"/>
        <v>625519.27142984036</v>
      </c>
      <c r="H40" s="453">
        <f t="shared" si="11"/>
        <v>625519.27142984036</v>
      </c>
      <c r="I40" s="473">
        <f t="shared" si="3"/>
        <v>0</v>
      </c>
      <c r="J40" s="473"/>
      <c r="K40" s="485"/>
      <c r="L40" s="476">
        <f t="shared" si="12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 ht="12.5">
      <c r="B41" s="160" t="str">
        <f t="shared" si="5"/>
        <v/>
      </c>
      <c r="C41" s="470">
        <f>IF(D11="","-",+C40+1)</f>
        <v>2043</v>
      </c>
      <c r="D41" s="481">
        <f>IF(F40+SUM(E$17:E40)=D$10,F40,D$10-SUM(E$17:E40))</f>
        <v>3385983.3806141932</v>
      </c>
      <c r="E41" s="482">
        <f t="shared" si="8"/>
        <v>208904.53512820514</v>
      </c>
      <c r="F41" s="483">
        <f t="shared" si="9"/>
        <v>3177078.8454859881</v>
      </c>
      <c r="G41" s="484">
        <f t="shared" si="10"/>
        <v>600584.64532949193</v>
      </c>
      <c r="H41" s="453">
        <f t="shared" si="11"/>
        <v>600584.64532949193</v>
      </c>
      <c r="I41" s="473">
        <f t="shared" si="3"/>
        <v>0</v>
      </c>
      <c r="J41" s="473"/>
      <c r="K41" s="485"/>
      <c r="L41" s="476">
        <f t="shared" si="12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 ht="12.5">
      <c r="B42" s="160" t="str">
        <f t="shared" si="5"/>
        <v/>
      </c>
      <c r="C42" s="470">
        <f>IF(D11="","-",+C41+1)</f>
        <v>2044</v>
      </c>
      <c r="D42" s="481">
        <f>IF(F41+SUM(E$17:E41)=D$10,F41,D$10-SUM(E$17:E41))</f>
        <v>3177078.8454859881</v>
      </c>
      <c r="E42" s="482">
        <f t="shared" si="8"/>
        <v>208904.53512820514</v>
      </c>
      <c r="F42" s="483">
        <f t="shared" si="9"/>
        <v>2968174.310357783</v>
      </c>
      <c r="G42" s="484">
        <f t="shared" si="10"/>
        <v>575650.01922914363</v>
      </c>
      <c r="H42" s="453">
        <f t="shared" si="11"/>
        <v>575650.01922914363</v>
      </c>
      <c r="I42" s="473">
        <f t="shared" si="3"/>
        <v>0</v>
      </c>
      <c r="J42" s="473"/>
      <c r="K42" s="485"/>
      <c r="L42" s="476">
        <f t="shared" si="12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 ht="12.5">
      <c r="B43" s="160" t="str">
        <f t="shared" si="5"/>
        <v/>
      </c>
      <c r="C43" s="470">
        <f>IF(D11="","-",+C42+1)</f>
        <v>2045</v>
      </c>
      <c r="D43" s="481">
        <f>IF(F42+SUM(E$17:E42)=D$10,F42,D$10-SUM(E$17:E42))</f>
        <v>2968174.310357783</v>
      </c>
      <c r="E43" s="482">
        <f t="shared" si="8"/>
        <v>208904.53512820514</v>
      </c>
      <c r="F43" s="483">
        <f t="shared" si="9"/>
        <v>2759269.7752295779</v>
      </c>
      <c r="G43" s="484">
        <f t="shared" si="10"/>
        <v>550715.39312879532</v>
      </c>
      <c r="H43" s="453">
        <f t="shared" si="11"/>
        <v>550715.39312879532</v>
      </c>
      <c r="I43" s="473">
        <f t="shared" si="3"/>
        <v>0</v>
      </c>
      <c r="J43" s="473"/>
      <c r="K43" s="485"/>
      <c r="L43" s="476">
        <f t="shared" si="12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 ht="12.5">
      <c r="B44" s="160" t="str">
        <f t="shared" si="5"/>
        <v/>
      </c>
      <c r="C44" s="470">
        <f>IF(D11="","-",+C43+1)</f>
        <v>2046</v>
      </c>
      <c r="D44" s="481">
        <f>IF(F43+SUM(E$17:E43)=D$10,F43,D$10-SUM(E$17:E43))</f>
        <v>2759269.7752295779</v>
      </c>
      <c r="E44" s="482">
        <f t="shared" si="8"/>
        <v>208904.53512820514</v>
      </c>
      <c r="F44" s="483">
        <f t="shared" si="9"/>
        <v>2550365.2401013728</v>
      </c>
      <c r="G44" s="484">
        <f t="shared" si="10"/>
        <v>525780.76702844701</v>
      </c>
      <c r="H44" s="453">
        <f t="shared" si="11"/>
        <v>525780.76702844701</v>
      </c>
      <c r="I44" s="473">
        <f t="shared" si="3"/>
        <v>0</v>
      </c>
      <c r="J44" s="473"/>
      <c r="K44" s="485"/>
      <c r="L44" s="476">
        <f t="shared" si="12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 ht="12.5">
      <c r="B45" s="160" t="str">
        <f t="shared" si="5"/>
        <v/>
      </c>
      <c r="C45" s="470">
        <f>IF(D11="","-",+C44+1)</f>
        <v>2047</v>
      </c>
      <c r="D45" s="481">
        <f>IF(F44+SUM(E$17:E44)=D$10,F44,D$10-SUM(E$17:E44))</f>
        <v>2550365.2401013728</v>
      </c>
      <c r="E45" s="482">
        <f t="shared" si="8"/>
        <v>208904.53512820514</v>
      </c>
      <c r="F45" s="483">
        <f t="shared" si="9"/>
        <v>2341460.7049731677</v>
      </c>
      <c r="G45" s="484">
        <f t="shared" si="10"/>
        <v>500846.14092809858</v>
      </c>
      <c r="H45" s="453">
        <f t="shared" si="11"/>
        <v>500846.14092809858</v>
      </c>
      <c r="I45" s="473">
        <f t="shared" si="3"/>
        <v>0</v>
      </c>
      <c r="J45" s="473"/>
      <c r="K45" s="485"/>
      <c r="L45" s="476">
        <f t="shared" si="12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 ht="12.5">
      <c r="B46" s="160" t="str">
        <f t="shared" si="5"/>
        <v/>
      </c>
      <c r="C46" s="470">
        <f>IF(D11="","-",+C45+1)</f>
        <v>2048</v>
      </c>
      <c r="D46" s="481">
        <f>IF(F45+SUM(E$17:E45)=D$10,F45,D$10-SUM(E$17:E45))</f>
        <v>2341460.7049731677</v>
      </c>
      <c r="E46" s="482">
        <f t="shared" si="8"/>
        <v>208904.53512820514</v>
      </c>
      <c r="F46" s="483">
        <f t="shared" si="9"/>
        <v>2132556.1698449627</v>
      </c>
      <c r="G46" s="484">
        <f t="shared" si="10"/>
        <v>475911.51482775022</v>
      </c>
      <c r="H46" s="453">
        <f t="shared" si="11"/>
        <v>475911.51482775022</v>
      </c>
      <c r="I46" s="473">
        <f t="shared" si="3"/>
        <v>0</v>
      </c>
      <c r="J46" s="473"/>
      <c r="K46" s="485"/>
      <c r="L46" s="476">
        <f t="shared" si="12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 ht="12.5">
      <c r="B47" s="160" t="str">
        <f t="shared" si="5"/>
        <v/>
      </c>
      <c r="C47" s="470">
        <f>IF(D11="","-",+C46+1)</f>
        <v>2049</v>
      </c>
      <c r="D47" s="481">
        <f>IF(F46+SUM(E$17:E46)=D$10,F46,D$10-SUM(E$17:E46))</f>
        <v>2132556.1698449627</v>
      </c>
      <c r="E47" s="482">
        <f t="shared" si="8"/>
        <v>208904.53512820514</v>
      </c>
      <c r="F47" s="483">
        <f t="shared" si="9"/>
        <v>1923651.6347167576</v>
      </c>
      <c r="G47" s="484">
        <f t="shared" si="10"/>
        <v>450976.88872740185</v>
      </c>
      <c r="H47" s="453">
        <f t="shared" si="11"/>
        <v>450976.88872740185</v>
      </c>
      <c r="I47" s="473">
        <f t="shared" si="3"/>
        <v>0</v>
      </c>
      <c r="J47" s="473"/>
      <c r="K47" s="485"/>
      <c r="L47" s="476">
        <f t="shared" si="12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 ht="12.5">
      <c r="B48" s="160" t="str">
        <f t="shared" si="5"/>
        <v/>
      </c>
      <c r="C48" s="470">
        <f>IF(D11="","-",+C47+1)</f>
        <v>2050</v>
      </c>
      <c r="D48" s="481">
        <f>IF(F47+SUM(E$17:E47)=D$10,F47,D$10-SUM(E$17:E47))</f>
        <v>1923651.6347167576</v>
      </c>
      <c r="E48" s="482">
        <f t="shared" si="8"/>
        <v>208904.53512820514</v>
      </c>
      <c r="F48" s="483">
        <f t="shared" si="9"/>
        <v>1714747.0995885525</v>
      </c>
      <c r="G48" s="484">
        <f t="shared" si="10"/>
        <v>426042.26262705354</v>
      </c>
      <c r="H48" s="453">
        <f t="shared" si="11"/>
        <v>426042.26262705354</v>
      </c>
      <c r="I48" s="473">
        <f t="shared" si="3"/>
        <v>0</v>
      </c>
      <c r="J48" s="473"/>
      <c r="K48" s="485"/>
      <c r="L48" s="476">
        <f t="shared" si="12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 ht="12.5">
      <c r="B49" s="160" t="str">
        <f t="shared" si="5"/>
        <v/>
      </c>
      <c r="C49" s="470">
        <f>IF(D11="","-",+C48+1)</f>
        <v>2051</v>
      </c>
      <c r="D49" s="481">
        <f>IF(F48+SUM(E$17:E48)=D$10,F48,D$10-SUM(E$17:E48))</f>
        <v>1714747.0995885525</v>
      </c>
      <c r="E49" s="482">
        <f t="shared" si="8"/>
        <v>208904.53512820514</v>
      </c>
      <c r="F49" s="483">
        <f t="shared" si="9"/>
        <v>1505842.5644603474</v>
      </c>
      <c r="G49" s="484">
        <f t="shared" si="10"/>
        <v>401107.63652670517</v>
      </c>
      <c r="H49" s="453">
        <f t="shared" si="11"/>
        <v>401107.63652670517</v>
      </c>
      <c r="I49" s="473">
        <f t="shared" si="3"/>
        <v>0</v>
      </c>
      <c r="J49" s="473"/>
      <c r="K49" s="485"/>
      <c r="L49" s="476">
        <f t="shared" si="12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 ht="12.5">
      <c r="B50" s="160" t="str">
        <f t="shared" si="5"/>
        <v/>
      </c>
      <c r="C50" s="470">
        <f>IF(D11="","-",+C49+1)</f>
        <v>2052</v>
      </c>
      <c r="D50" s="481">
        <f>IF(F49+SUM(E$17:E49)=D$10,F49,D$10-SUM(E$17:E49))</f>
        <v>1505842.5644603474</v>
      </c>
      <c r="E50" s="482">
        <f t="shared" si="8"/>
        <v>208904.53512820514</v>
      </c>
      <c r="F50" s="483">
        <f t="shared" si="9"/>
        <v>1296938.0293321423</v>
      </c>
      <c r="G50" s="484">
        <f t="shared" si="10"/>
        <v>376173.01042635681</v>
      </c>
      <c r="H50" s="453">
        <f t="shared" si="11"/>
        <v>376173.01042635681</v>
      </c>
      <c r="I50" s="473">
        <f t="shared" si="3"/>
        <v>0</v>
      </c>
      <c r="J50" s="473"/>
      <c r="K50" s="485"/>
      <c r="L50" s="476">
        <f t="shared" si="12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 ht="12.5">
      <c r="B51" s="160" t="str">
        <f t="shared" si="5"/>
        <v/>
      </c>
      <c r="C51" s="470">
        <f>IF(D11="","-",+C50+1)</f>
        <v>2053</v>
      </c>
      <c r="D51" s="481">
        <f>IF(F50+SUM(E$17:E50)=D$10,F50,D$10-SUM(E$17:E50))</f>
        <v>1296938.0293321423</v>
      </c>
      <c r="E51" s="482">
        <f t="shared" si="8"/>
        <v>208904.53512820514</v>
      </c>
      <c r="F51" s="483">
        <f t="shared" si="9"/>
        <v>1088033.4942039372</v>
      </c>
      <c r="G51" s="484">
        <f t="shared" si="10"/>
        <v>351238.3843260085</v>
      </c>
      <c r="H51" s="453">
        <f t="shared" si="11"/>
        <v>351238.3843260085</v>
      </c>
      <c r="I51" s="473">
        <f t="shared" si="3"/>
        <v>0</v>
      </c>
      <c r="J51" s="473"/>
      <c r="K51" s="485"/>
      <c r="L51" s="476">
        <f t="shared" si="12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 ht="12.5">
      <c r="B52" s="160" t="str">
        <f t="shared" si="5"/>
        <v/>
      </c>
      <c r="C52" s="470">
        <f>IF(D11="","-",+C51+1)</f>
        <v>2054</v>
      </c>
      <c r="D52" s="481">
        <f>IF(F51+SUM(E$17:E51)=D$10,F51,D$10-SUM(E$17:E51))</f>
        <v>1088033.4942039372</v>
      </c>
      <c r="E52" s="482">
        <f t="shared" si="8"/>
        <v>208904.53512820514</v>
      </c>
      <c r="F52" s="483">
        <f t="shared" si="9"/>
        <v>879128.95907573216</v>
      </c>
      <c r="G52" s="484">
        <f t="shared" si="10"/>
        <v>326303.75822566013</v>
      </c>
      <c r="H52" s="453">
        <f t="shared" si="11"/>
        <v>326303.75822566013</v>
      </c>
      <c r="I52" s="473">
        <f t="shared" si="3"/>
        <v>0</v>
      </c>
      <c r="J52" s="473"/>
      <c r="K52" s="485"/>
      <c r="L52" s="476">
        <f t="shared" si="12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 ht="12.5">
      <c r="B53" s="160" t="str">
        <f t="shared" si="5"/>
        <v/>
      </c>
      <c r="C53" s="470">
        <f>IF(D11="","-",+C52+1)</f>
        <v>2055</v>
      </c>
      <c r="D53" s="481">
        <f>IF(F52+SUM(E$17:E52)=D$10,F52,D$10-SUM(E$17:E52))</f>
        <v>879128.95907573216</v>
      </c>
      <c r="E53" s="482">
        <f t="shared" si="8"/>
        <v>208904.53512820514</v>
      </c>
      <c r="F53" s="483">
        <f t="shared" si="9"/>
        <v>670224.42394752707</v>
      </c>
      <c r="G53" s="484">
        <f t="shared" si="10"/>
        <v>301369.13212531176</v>
      </c>
      <c r="H53" s="453">
        <f t="shared" si="11"/>
        <v>301369.13212531176</v>
      </c>
      <c r="I53" s="473">
        <f t="shared" si="3"/>
        <v>0</v>
      </c>
      <c r="J53" s="473"/>
      <c r="K53" s="485"/>
      <c r="L53" s="476">
        <f t="shared" si="12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 ht="12.5">
      <c r="B54" s="160" t="str">
        <f t="shared" si="5"/>
        <v/>
      </c>
      <c r="C54" s="470">
        <f>IF(D11="","-",+C53+1)</f>
        <v>2056</v>
      </c>
      <c r="D54" s="481">
        <f>IF(F53+SUM(E$17:E53)=D$10,F53,D$10-SUM(E$17:E53))</f>
        <v>670224.42394752707</v>
      </c>
      <c r="E54" s="482">
        <f t="shared" si="8"/>
        <v>208904.53512820514</v>
      </c>
      <c r="F54" s="483">
        <f t="shared" si="9"/>
        <v>461319.88881932193</v>
      </c>
      <c r="G54" s="484">
        <f t="shared" si="10"/>
        <v>276434.5060249634</v>
      </c>
      <c r="H54" s="453">
        <f t="shared" si="11"/>
        <v>276434.5060249634</v>
      </c>
      <c r="I54" s="473">
        <f t="shared" si="3"/>
        <v>0</v>
      </c>
      <c r="J54" s="473"/>
      <c r="K54" s="485"/>
      <c r="L54" s="476">
        <f t="shared" si="12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 ht="12.5">
      <c r="B55" s="160" t="str">
        <f t="shared" si="5"/>
        <v/>
      </c>
      <c r="C55" s="470">
        <f>IF(D11="","-",+C54+1)</f>
        <v>2057</v>
      </c>
      <c r="D55" s="481">
        <f>IF(F54+SUM(E$17:E54)=D$10,F54,D$10-SUM(E$17:E54))</f>
        <v>461319.88881932193</v>
      </c>
      <c r="E55" s="482">
        <f t="shared" si="8"/>
        <v>208904.53512820514</v>
      </c>
      <c r="F55" s="483">
        <f t="shared" si="9"/>
        <v>252415.35369111679</v>
      </c>
      <c r="G55" s="484">
        <f t="shared" si="10"/>
        <v>251499.87992461506</v>
      </c>
      <c r="H55" s="453">
        <f t="shared" si="11"/>
        <v>251499.87992461506</v>
      </c>
      <c r="I55" s="473">
        <f t="shared" si="3"/>
        <v>0</v>
      </c>
      <c r="J55" s="473"/>
      <c r="K55" s="485"/>
      <c r="L55" s="476">
        <f t="shared" si="12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 ht="12.5">
      <c r="B56" s="160" t="str">
        <f t="shared" si="5"/>
        <v/>
      </c>
      <c r="C56" s="470">
        <f>IF(D11="","-",+C55+1)</f>
        <v>2058</v>
      </c>
      <c r="D56" s="481">
        <f>IF(F55+SUM(E$17:E55)=D$10,F55,D$10-SUM(E$17:E55))</f>
        <v>252415.35369111679</v>
      </c>
      <c r="E56" s="482">
        <f t="shared" si="8"/>
        <v>208904.53512820514</v>
      </c>
      <c r="F56" s="483">
        <f t="shared" si="9"/>
        <v>43510.818562911649</v>
      </c>
      <c r="G56" s="484">
        <f t="shared" si="10"/>
        <v>226565.25382426669</v>
      </c>
      <c r="H56" s="453">
        <f t="shared" si="11"/>
        <v>226565.25382426669</v>
      </c>
      <c r="I56" s="473">
        <f t="shared" si="3"/>
        <v>0</v>
      </c>
      <c r="J56" s="473"/>
      <c r="K56" s="485"/>
      <c r="L56" s="476">
        <f t="shared" si="12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 ht="12.5">
      <c r="B57" s="160" t="str">
        <f t="shared" si="5"/>
        <v/>
      </c>
      <c r="C57" s="470">
        <f>IF(D11="","-",+C56+1)</f>
        <v>2059</v>
      </c>
      <c r="D57" s="481">
        <f>IF(F56+SUM(E$17:E56)=D$10,F56,D$10-SUM(E$17:E56))</f>
        <v>43510.818562911649</v>
      </c>
      <c r="E57" s="482">
        <f t="shared" si="8"/>
        <v>43510.818562911649</v>
      </c>
      <c r="F57" s="483">
        <f t="shared" si="9"/>
        <v>0</v>
      </c>
      <c r="G57" s="484">
        <f t="shared" si="10"/>
        <v>46107.52138585534</v>
      </c>
      <c r="H57" s="453">
        <f t="shared" si="11"/>
        <v>46107.52138585534</v>
      </c>
      <c r="I57" s="473">
        <f t="shared" si="3"/>
        <v>0</v>
      </c>
      <c r="J57" s="473"/>
      <c r="K57" s="485"/>
      <c r="L57" s="476">
        <f t="shared" si="12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 ht="12.5">
      <c r="B58" s="160" t="str">
        <f t="shared" si="5"/>
        <v/>
      </c>
      <c r="C58" s="470">
        <f>IF(D11="","-",+C57+1)</f>
        <v>2060</v>
      </c>
      <c r="D58" s="481">
        <f>IF(F57+SUM(E$17:E57)=D$10,F57,D$10-SUM(E$17:E57))</f>
        <v>0</v>
      </c>
      <c r="E58" s="482">
        <f t="shared" si="8"/>
        <v>0</v>
      </c>
      <c r="F58" s="483">
        <f t="shared" si="9"/>
        <v>0</v>
      </c>
      <c r="G58" s="484">
        <f t="shared" si="10"/>
        <v>0</v>
      </c>
      <c r="H58" s="453">
        <f t="shared" si="11"/>
        <v>0</v>
      </c>
      <c r="I58" s="473">
        <f t="shared" si="3"/>
        <v>0</v>
      </c>
      <c r="J58" s="473"/>
      <c r="K58" s="485"/>
      <c r="L58" s="476">
        <f t="shared" si="12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 ht="12.5">
      <c r="B59" s="160" t="str">
        <f t="shared" si="5"/>
        <v/>
      </c>
      <c r="C59" s="470">
        <f>IF(D11="","-",+C58+1)</f>
        <v>2061</v>
      </c>
      <c r="D59" s="481">
        <f>IF(F58+SUM(E$17:E58)=D$10,F58,D$10-SUM(E$17:E58))</f>
        <v>0</v>
      </c>
      <c r="E59" s="482">
        <f t="shared" si="8"/>
        <v>0</v>
      </c>
      <c r="F59" s="483">
        <f t="shared" si="9"/>
        <v>0</v>
      </c>
      <c r="G59" s="484">
        <f t="shared" si="10"/>
        <v>0</v>
      </c>
      <c r="H59" s="453">
        <f t="shared" si="11"/>
        <v>0</v>
      </c>
      <c r="I59" s="473">
        <f t="shared" si="3"/>
        <v>0</v>
      </c>
      <c r="J59" s="473"/>
      <c r="K59" s="485"/>
      <c r="L59" s="476">
        <f t="shared" si="12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 ht="12.5">
      <c r="B60" s="160" t="str">
        <f t="shared" si="5"/>
        <v/>
      </c>
      <c r="C60" s="470">
        <f>IF(D11="","-",+C59+1)</f>
        <v>2062</v>
      </c>
      <c r="D60" s="481">
        <f>IF(F59+SUM(E$17:E59)=D$10,F59,D$10-SUM(E$17:E59))</f>
        <v>0</v>
      </c>
      <c r="E60" s="482">
        <f t="shared" si="8"/>
        <v>0</v>
      </c>
      <c r="F60" s="483">
        <f t="shared" si="9"/>
        <v>0</v>
      </c>
      <c r="G60" s="484">
        <f t="shared" si="10"/>
        <v>0</v>
      </c>
      <c r="H60" s="453">
        <f t="shared" si="11"/>
        <v>0</v>
      </c>
      <c r="I60" s="473">
        <f t="shared" si="3"/>
        <v>0</v>
      </c>
      <c r="J60" s="473"/>
      <c r="K60" s="485"/>
      <c r="L60" s="476">
        <f t="shared" si="12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 ht="12.5">
      <c r="B61" s="160" t="str">
        <f t="shared" si="5"/>
        <v/>
      </c>
      <c r="C61" s="470">
        <f>IF(D11="","-",+C60+1)</f>
        <v>2063</v>
      </c>
      <c r="D61" s="481">
        <f>IF(F60+SUM(E$17:E60)=D$10,F60,D$10-SUM(E$17:E60))</f>
        <v>0</v>
      </c>
      <c r="E61" s="482">
        <f t="shared" si="8"/>
        <v>0</v>
      </c>
      <c r="F61" s="483">
        <f t="shared" si="9"/>
        <v>0</v>
      </c>
      <c r="G61" s="484">
        <f t="shared" si="10"/>
        <v>0</v>
      </c>
      <c r="H61" s="453">
        <f t="shared" si="11"/>
        <v>0</v>
      </c>
      <c r="I61" s="473">
        <f t="shared" si="3"/>
        <v>0</v>
      </c>
      <c r="J61" s="473"/>
      <c r="K61" s="485"/>
      <c r="L61" s="476">
        <f t="shared" si="12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 ht="12.5">
      <c r="B62" s="160" t="str">
        <f t="shared" si="5"/>
        <v/>
      </c>
      <c r="C62" s="470">
        <f>IF(D11="","-",+C61+1)</f>
        <v>2064</v>
      </c>
      <c r="D62" s="481">
        <f>IF(F61+SUM(E$17:E61)=D$10,F61,D$10-SUM(E$17:E61))</f>
        <v>0</v>
      </c>
      <c r="E62" s="482">
        <f t="shared" si="8"/>
        <v>0</v>
      </c>
      <c r="F62" s="483">
        <f t="shared" si="9"/>
        <v>0</v>
      </c>
      <c r="G62" s="484">
        <f t="shared" si="10"/>
        <v>0</v>
      </c>
      <c r="H62" s="453">
        <f t="shared" si="11"/>
        <v>0</v>
      </c>
      <c r="I62" s="473">
        <f t="shared" si="3"/>
        <v>0</v>
      </c>
      <c r="J62" s="473"/>
      <c r="K62" s="485"/>
      <c r="L62" s="476">
        <f t="shared" si="12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 ht="12.5">
      <c r="B63" s="160" t="str">
        <f t="shared" si="5"/>
        <v/>
      </c>
      <c r="C63" s="470">
        <f>IF(D11="","-",+C62+1)</f>
        <v>2065</v>
      </c>
      <c r="D63" s="481">
        <f>IF(F62+SUM(E$17:E62)=D$10,F62,D$10-SUM(E$17:E62))</f>
        <v>0</v>
      </c>
      <c r="E63" s="482">
        <f t="shared" si="8"/>
        <v>0</v>
      </c>
      <c r="F63" s="483">
        <f t="shared" si="9"/>
        <v>0</v>
      </c>
      <c r="G63" s="484">
        <f t="shared" si="10"/>
        <v>0</v>
      </c>
      <c r="H63" s="453">
        <f t="shared" si="11"/>
        <v>0</v>
      </c>
      <c r="I63" s="473">
        <f t="shared" si="3"/>
        <v>0</v>
      </c>
      <c r="J63" s="473"/>
      <c r="K63" s="485"/>
      <c r="L63" s="476">
        <f t="shared" si="12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 ht="12.5">
      <c r="B64" s="160" t="str">
        <f t="shared" si="5"/>
        <v/>
      </c>
      <c r="C64" s="470">
        <f>IF(D11="","-",+C63+1)</f>
        <v>2066</v>
      </c>
      <c r="D64" s="481">
        <f>IF(F63+SUM(E$17:E63)=D$10,F63,D$10-SUM(E$17:E63))</f>
        <v>0</v>
      </c>
      <c r="E64" s="482">
        <f t="shared" si="8"/>
        <v>0</v>
      </c>
      <c r="F64" s="483">
        <f t="shared" si="9"/>
        <v>0</v>
      </c>
      <c r="G64" s="484">
        <f t="shared" si="10"/>
        <v>0</v>
      </c>
      <c r="H64" s="453">
        <f t="shared" si="11"/>
        <v>0</v>
      </c>
      <c r="I64" s="473">
        <f t="shared" si="3"/>
        <v>0</v>
      </c>
      <c r="J64" s="473"/>
      <c r="K64" s="485"/>
      <c r="L64" s="476">
        <f t="shared" si="12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 ht="12.5">
      <c r="B65" s="160" t="str">
        <f t="shared" si="5"/>
        <v/>
      </c>
      <c r="C65" s="470">
        <f>IF(D11="","-",+C64+1)</f>
        <v>2067</v>
      </c>
      <c r="D65" s="481">
        <f>IF(F64+SUM(E$17:E64)=D$10,F64,D$10-SUM(E$17:E64))</f>
        <v>0</v>
      </c>
      <c r="E65" s="482">
        <f t="shared" si="8"/>
        <v>0</v>
      </c>
      <c r="F65" s="483">
        <f t="shared" si="9"/>
        <v>0</v>
      </c>
      <c r="G65" s="484">
        <f t="shared" si="10"/>
        <v>0</v>
      </c>
      <c r="H65" s="453">
        <f t="shared" si="11"/>
        <v>0</v>
      </c>
      <c r="I65" s="473">
        <f t="shared" si="3"/>
        <v>0</v>
      </c>
      <c r="J65" s="473"/>
      <c r="K65" s="485"/>
      <c r="L65" s="476">
        <f t="shared" si="12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 ht="12.5">
      <c r="B66" s="160" t="str">
        <f t="shared" si="5"/>
        <v/>
      </c>
      <c r="C66" s="470">
        <f>IF(D11="","-",+C65+1)</f>
        <v>2068</v>
      </c>
      <c r="D66" s="481">
        <f>IF(F65+SUM(E$17:E65)=D$10,F65,D$10-SUM(E$17:E65))</f>
        <v>0</v>
      </c>
      <c r="E66" s="482">
        <f t="shared" si="8"/>
        <v>0</v>
      </c>
      <c r="F66" s="483">
        <f t="shared" si="9"/>
        <v>0</v>
      </c>
      <c r="G66" s="484">
        <f t="shared" si="10"/>
        <v>0</v>
      </c>
      <c r="H66" s="453">
        <f t="shared" si="11"/>
        <v>0</v>
      </c>
      <c r="I66" s="473">
        <f t="shared" si="3"/>
        <v>0</v>
      </c>
      <c r="J66" s="473"/>
      <c r="K66" s="485"/>
      <c r="L66" s="476">
        <f t="shared" si="12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 ht="12.5">
      <c r="B67" s="160" t="str">
        <f t="shared" si="5"/>
        <v/>
      </c>
      <c r="C67" s="470">
        <f>IF(D11="","-",+C66+1)</f>
        <v>2069</v>
      </c>
      <c r="D67" s="481">
        <f>IF(F66+SUM(E$17:E66)=D$10,F66,D$10-SUM(E$17:E66))</f>
        <v>0</v>
      </c>
      <c r="E67" s="482">
        <f t="shared" si="8"/>
        <v>0</v>
      </c>
      <c r="F67" s="483">
        <f t="shared" si="9"/>
        <v>0</v>
      </c>
      <c r="G67" s="484">
        <f t="shared" si="10"/>
        <v>0</v>
      </c>
      <c r="H67" s="453">
        <f t="shared" si="11"/>
        <v>0</v>
      </c>
      <c r="I67" s="473">
        <f t="shared" si="3"/>
        <v>0</v>
      </c>
      <c r="J67" s="473"/>
      <c r="K67" s="485"/>
      <c r="L67" s="476">
        <f t="shared" si="12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 ht="12.5">
      <c r="B68" s="160" t="str">
        <f t="shared" si="5"/>
        <v/>
      </c>
      <c r="C68" s="470">
        <f>IF(D11="","-",+C67+1)</f>
        <v>2070</v>
      </c>
      <c r="D68" s="481">
        <f>IF(F67+SUM(E$17:E67)=D$10,F67,D$10-SUM(E$17:E67))</f>
        <v>0</v>
      </c>
      <c r="E68" s="482">
        <f t="shared" si="8"/>
        <v>0</v>
      </c>
      <c r="F68" s="483">
        <f t="shared" si="9"/>
        <v>0</v>
      </c>
      <c r="G68" s="484">
        <f t="shared" si="10"/>
        <v>0</v>
      </c>
      <c r="H68" s="453">
        <f t="shared" si="11"/>
        <v>0</v>
      </c>
      <c r="I68" s="473">
        <f t="shared" si="3"/>
        <v>0</v>
      </c>
      <c r="J68" s="473"/>
      <c r="K68" s="485"/>
      <c r="L68" s="476">
        <f t="shared" si="12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 ht="12.5">
      <c r="B69" s="160" t="str">
        <f t="shared" si="5"/>
        <v/>
      </c>
      <c r="C69" s="470">
        <f>IF(D11="","-",+C68+1)</f>
        <v>2071</v>
      </c>
      <c r="D69" s="481">
        <f>IF(F68+SUM(E$17:E68)=D$10,F68,D$10-SUM(E$17:E68))</f>
        <v>0</v>
      </c>
      <c r="E69" s="482">
        <f t="shared" si="8"/>
        <v>0</v>
      </c>
      <c r="F69" s="483">
        <f t="shared" si="9"/>
        <v>0</v>
      </c>
      <c r="G69" s="484">
        <f t="shared" si="10"/>
        <v>0</v>
      </c>
      <c r="H69" s="453">
        <f t="shared" si="11"/>
        <v>0</v>
      </c>
      <c r="I69" s="473">
        <f t="shared" si="3"/>
        <v>0</v>
      </c>
      <c r="J69" s="473"/>
      <c r="K69" s="485"/>
      <c r="L69" s="476">
        <f t="shared" si="12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 ht="12.5">
      <c r="B70" s="160" t="str">
        <f t="shared" si="5"/>
        <v/>
      </c>
      <c r="C70" s="470">
        <f>IF(D11="","-",+C69+1)</f>
        <v>2072</v>
      </c>
      <c r="D70" s="481">
        <f>IF(F69+SUM(E$17:E69)=D$10,F69,D$10-SUM(E$17:E69))</f>
        <v>0</v>
      </c>
      <c r="E70" s="482">
        <f t="shared" si="8"/>
        <v>0</v>
      </c>
      <c r="F70" s="483">
        <f t="shared" si="9"/>
        <v>0</v>
      </c>
      <c r="G70" s="484">
        <f t="shared" si="10"/>
        <v>0</v>
      </c>
      <c r="H70" s="453">
        <f t="shared" si="11"/>
        <v>0</v>
      </c>
      <c r="I70" s="473">
        <f t="shared" si="3"/>
        <v>0</v>
      </c>
      <c r="J70" s="473"/>
      <c r="K70" s="485"/>
      <c r="L70" s="476">
        <f t="shared" si="12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 ht="12.5">
      <c r="B71" s="160" t="str">
        <f t="shared" si="5"/>
        <v/>
      </c>
      <c r="C71" s="470">
        <f>IF(D11="","-",+C70+1)</f>
        <v>2073</v>
      </c>
      <c r="D71" s="481">
        <f>IF(F70+SUM(E$17:E70)=D$10,F70,D$10-SUM(E$17:E70))</f>
        <v>0</v>
      </c>
      <c r="E71" s="482">
        <f t="shared" si="8"/>
        <v>0</v>
      </c>
      <c r="F71" s="483">
        <f t="shared" si="9"/>
        <v>0</v>
      </c>
      <c r="G71" s="484">
        <f t="shared" si="10"/>
        <v>0</v>
      </c>
      <c r="H71" s="453">
        <f t="shared" si="11"/>
        <v>0</v>
      </c>
      <c r="I71" s="473">
        <f t="shared" si="3"/>
        <v>0</v>
      </c>
      <c r="J71" s="473"/>
      <c r="K71" s="485"/>
      <c r="L71" s="476">
        <f t="shared" si="12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" thickBot="1">
      <c r="B72" s="160" t="str">
        <f t="shared" si="5"/>
        <v/>
      </c>
      <c r="C72" s="487">
        <f>IF(D11="","-",+C71+1)</f>
        <v>2074</v>
      </c>
      <c r="D72" s="609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2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 ht="12.5">
      <c r="C73" s="345" t="s">
        <v>77</v>
      </c>
      <c r="D73" s="346"/>
      <c r="E73" s="346">
        <f>SUM(E17:E72)</f>
        <v>8147276.870000001</v>
      </c>
      <c r="F73" s="346"/>
      <c r="G73" s="346">
        <f>SUM(G17:G72)</f>
        <v>27349027.2977819</v>
      </c>
      <c r="H73" s="346">
        <f>SUM(H17:H72)</f>
        <v>27349027.2977819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26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1099277.167336459</v>
      </c>
      <c r="N87" s="506">
        <f>IF(J92&lt;D11,0,VLOOKUP(J92,C17:O72,11))</f>
        <v>1099277.167336459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1064598.1674432177</v>
      </c>
      <c r="N88" s="510">
        <f>IF(J92&lt;D11,0,VLOOKUP(J92,C99:P154,7))</f>
        <v>1064598.1674432177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Tulsa Southeast - E. 61st St 138 kV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-34678.999893241329</v>
      </c>
      <c r="N89" s="515">
        <f>+N88-N87</f>
        <v>-34678.999893241329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TP2017011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8147276.8700000001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12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214402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2019</v>
      </c>
      <c r="D99" s="582">
        <v>0</v>
      </c>
      <c r="E99" s="605">
        <v>0</v>
      </c>
      <c r="F99" s="582">
        <v>6388896</v>
      </c>
      <c r="G99" s="605">
        <v>3194448</v>
      </c>
      <c r="H99" s="585">
        <v>329392.39438521734</v>
      </c>
      <c r="I99" s="604">
        <v>329392.39438521734</v>
      </c>
      <c r="J99" s="476">
        <f>+I99-H99</f>
        <v>0</v>
      </c>
      <c r="K99" s="476"/>
      <c r="L99" s="475">
        <f>+H99</f>
        <v>329392.39438521734</v>
      </c>
      <c r="M99" s="475">
        <f t="shared" ref="M99" si="13">IF(L99&lt;&gt;0,+H99-L99,0)</f>
        <v>0</v>
      </c>
      <c r="N99" s="475">
        <f>+I99</f>
        <v>329392.39438521734</v>
      </c>
      <c r="O99" s="475">
        <f t="shared" ref="O99:O130" si="14">IF(N99&lt;&gt;0,+I99-N99,0)</f>
        <v>0</v>
      </c>
      <c r="P99" s="475">
        <f t="shared" ref="P99:P130" si="15">+O99-M99</f>
        <v>0</v>
      </c>
    </row>
    <row r="100" spans="1:16" ht="12.5">
      <c r="B100" s="160" t="str">
        <f>IF(D100=F99,"","IU")</f>
        <v>IU</v>
      </c>
      <c r="C100" s="470">
        <f>IF(D93="","-",+C99+1)</f>
        <v>2020</v>
      </c>
      <c r="D100" s="582">
        <v>8144614</v>
      </c>
      <c r="E100" s="583">
        <v>189410</v>
      </c>
      <c r="F100" s="584">
        <v>7955204</v>
      </c>
      <c r="G100" s="584">
        <v>8049909</v>
      </c>
      <c r="H100" s="603">
        <v>1117542.3763000495</v>
      </c>
      <c r="I100" s="604">
        <v>1117542.3763000495</v>
      </c>
      <c r="J100" s="476">
        <f t="shared" ref="J100:J130" si="16">+I100-H100</f>
        <v>0</v>
      </c>
      <c r="K100" s="476"/>
      <c r="L100" s="474">
        <f>H100</f>
        <v>1117542.3763000495</v>
      </c>
      <c r="M100" s="347">
        <f>IF(L100&lt;&gt;0,+H100-L100,0)</f>
        <v>0</v>
      </c>
      <c r="N100" s="474">
        <f>I100</f>
        <v>1117542.3763000495</v>
      </c>
      <c r="O100" s="476">
        <f t="shared" si="14"/>
        <v>0</v>
      </c>
      <c r="P100" s="476">
        <f t="shared" si="15"/>
        <v>0</v>
      </c>
    </row>
    <row r="101" spans="1:16" ht="12.5">
      <c r="B101" s="160" t="str">
        <f t="shared" ref="B101:B154" si="17">IF(D101=F100,"","IU")</f>
        <v>IU</v>
      </c>
      <c r="C101" s="470">
        <f>IF(D93="","-",+C100+1)</f>
        <v>2021</v>
      </c>
      <c r="D101" s="582">
        <v>7958291</v>
      </c>
      <c r="E101" s="583">
        <v>198724</v>
      </c>
      <c r="F101" s="584">
        <v>7759567</v>
      </c>
      <c r="G101" s="584">
        <v>7858929</v>
      </c>
      <c r="H101" s="603">
        <v>1093013.4811459687</v>
      </c>
      <c r="I101" s="604">
        <v>1093013.4811459687</v>
      </c>
      <c r="J101" s="476">
        <f t="shared" si="16"/>
        <v>0</v>
      </c>
      <c r="K101" s="476"/>
      <c r="L101" s="474">
        <f>H101</f>
        <v>1093013.4811459687</v>
      </c>
      <c r="M101" s="347">
        <f>IF(L101&lt;&gt;0,+H101-L101,0)</f>
        <v>0</v>
      </c>
      <c r="N101" s="474">
        <f>I101</f>
        <v>1093013.4811459687</v>
      </c>
      <c r="O101" s="476">
        <f t="shared" si="14"/>
        <v>0</v>
      </c>
      <c r="P101" s="476">
        <f t="shared" si="15"/>
        <v>0</v>
      </c>
    </row>
    <row r="102" spans="1:16" ht="12.5">
      <c r="B102" s="160" t="str">
        <f t="shared" si="17"/>
        <v>IU</v>
      </c>
      <c r="C102" s="470">
        <f>IF(D93="","-",+C101+1)</f>
        <v>2022</v>
      </c>
      <c r="D102" s="582">
        <v>7759143</v>
      </c>
      <c r="E102" s="583">
        <v>208905</v>
      </c>
      <c r="F102" s="584">
        <v>7550238</v>
      </c>
      <c r="G102" s="584">
        <v>7654690.5</v>
      </c>
      <c r="H102" s="603">
        <v>1052319.106232034</v>
      </c>
      <c r="I102" s="604">
        <v>1052319.106232034</v>
      </c>
      <c r="J102" s="476">
        <f t="shared" si="16"/>
        <v>0</v>
      </c>
      <c r="K102" s="476"/>
      <c r="L102" s="474">
        <f>H102</f>
        <v>1052319.106232034</v>
      </c>
      <c r="M102" s="347">
        <f>IF(L102&lt;&gt;0,+H102-L102,0)</f>
        <v>0</v>
      </c>
      <c r="N102" s="474">
        <f>I102</f>
        <v>1052319.106232034</v>
      </c>
      <c r="O102" s="476">
        <f t="shared" ref="O102" si="18">IF(N102&lt;&gt;0,+I102-N102,0)</f>
        <v>0</v>
      </c>
      <c r="P102" s="476">
        <f t="shared" ref="P102" si="19">+O102-M102</f>
        <v>0</v>
      </c>
    </row>
    <row r="103" spans="1:16" ht="12.5">
      <c r="B103" s="160" t="str">
        <f t="shared" si="17"/>
        <v>IU</v>
      </c>
      <c r="C103" s="470">
        <f>IF(D93="","-",+C102+1)</f>
        <v>2023</v>
      </c>
      <c r="D103" s="345">
        <f>IF(F102+SUM(E$99:E102)=D$92,F102,D$92-SUM(E$99:E102))</f>
        <v>7550237.8700000001</v>
      </c>
      <c r="E103" s="482">
        <f t="shared" ref="E103:E154" si="20">IF(+J$96&lt;F102,J$96,D103)</f>
        <v>214402</v>
      </c>
      <c r="F103" s="483">
        <f t="shared" ref="F103:F154" si="21">+D103-E103</f>
        <v>7335835.8700000001</v>
      </c>
      <c r="G103" s="483">
        <f t="shared" ref="G103:G154" si="22">+(F103+D103)/2</f>
        <v>7443036.8700000001</v>
      </c>
      <c r="H103" s="484">
        <f t="shared" ref="H103:H153" si="23">(D103+F103)/2*J$94+E103</f>
        <v>1064598.1674432177</v>
      </c>
      <c r="I103" s="540">
        <f t="shared" ref="I103:I153" si="24">+J$95*G103+E103</f>
        <v>1064598.1674432177</v>
      </c>
      <c r="J103" s="476">
        <f t="shared" si="16"/>
        <v>0</v>
      </c>
      <c r="K103" s="476"/>
      <c r="L103" s="485"/>
      <c r="M103" s="476">
        <f t="shared" ref="M103:M130" si="25">IF(L103&lt;&gt;0,+H103-L103,0)</f>
        <v>0</v>
      </c>
      <c r="N103" s="485"/>
      <c r="O103" s="476">
        <f t="shared" si="14"/>
        <v>0</v>
      </c>
      <c r="P103" s="476">
        <f t="shared" si="15"/>
        <v>0</v>
      </c>
    </row>
    <row r="104" spans="1:16" ht="12.5">
      <c r="B104" s="160" t="str">
        <f t="shared" si="17"/>
        <v/>
      </c>
      <c r="C104" s="470">
        <f>IF(D93="","-",+C103+1)</f>
        <v>2024</v>
      </c>
      <c r="D104" s="345">
        <f>IF(F103+SUM(E$99:E103)=D$92,F103,D$92-SUM(E$99:E103))</f>
        <v>7335835.8700000001</v>
      </c>
      <c r="E104" s="482">
        <f t="shared" si="20"/>
        <v>214402</v>
      </c>
      <c r="F104" s="483">
        <f t="shared" si="21"/>
        <v>7121433.8700000001</v>
      </c>
      <c r="G104" s="483">
        <f t="shared" si="22"/>
        <v>7228634.8700000001</v>
      </c>
      <c r="H104" s="484">
        <f t="shared" si="23"/>
        <v>1040107.6588140214</v>
      </c>
      <c r="I104" s="540">
        <f t="shared" si="24"/>
        <v>1040107.6588140214</v>
      </c>
      <c r="J104" s="476">
        <f t="shared" si="16"/>
        <v>0</v>
      </c>
      <c r="K104" s="476"/>
      <c r="L104" s="485"/>
      <c r="M104" s="476">
        <f t="shared" si="25"/>
        <v>0</v>
      </c>
      <c r="N104" s="485"/>
      <c r="O104" s="476">
        <f t="shared" si="14"/>
        <v>0</v>
      </c>
      <c r="P104" s="476">
        <f t="shared" si="15"/>
        <v>0</v>
      </c>
    </row>
    <row r="105" spans="1:16" ht="12.5">
      <c r="B105" s="160" t="str">
        <f t="shared" si="17"/>
        <v/>
      </c>
      <c r="C105" s="470">
        <f>IF(D93="","-",+C104+1)</f>
        <v>2025</v>
      </c>
      <c r="D105" s="345">
        <f>IF(F104+SUM(E$99:E104)=D$92,F104,D$92-SUM(E$99:E104))</f>
        <v>7121433.8700000001</v>
      </c>
      <c r="E105" s="482">
        <f t="shared" si="20"/>
        <v>214402</v>
      </c>
      <c r="F105" s="483">
        <f t="shared" si="21"/>
        <v>6907031.8700000001</v>
      </c>
      <c r="G105" s="483">
        <f t="shared" si="22"/>
        <v>7014232.8700000001</v>
      </c>
      <c r="H105" s="484">
        <f t="shared" si="23"/>
        <v>1015617.1501848252</v>
      </c>
      <c r="I105" s="540">
        <f t="shared" si="24"/>
        <v>1015617.1501848252</v>
      </c>
      <c r="J105" s="476">
        <f t="shared" si="16"/>
        <v>0</v>
      </c>
      <c r="K105" s="476"/>
      <c r="L105" s="485"/>
      <c r="M105" s="476">
        <f t="shared" si="25"/>
        <v>0</v>
      </c>
      <c r="N105" s="485"/>
      <c r="O105" s="476">
        <f t="shared" si="14"/>
        <v>0</v>
      </c>
      <c r="P105" s="476">
        <f t="shared" si="15"/>
        <v>0</v>
      </c>
    </row>
    <row r="106" spans="1:16" ht="12.5">
      <c r="B106" s="160" t="str">
        <f t="shared" si="17"/>
        <v/>
      </c>
      <c r="C106" s="470">
        <f>IF(D93="","-",+C105+1)</f>
        <v>2026</v>
      </c>
      <c r="D106" s="345">
        <f>IF(F105+SUM(E$99:E105)=D$92,F105,D$92-SUM(E$99:E105))</f>
        <v>6907031.8700000001</v>
      </c>
      <c r="E106" s="482">
        <f t="shared" si="20"/>
        <v>214402</v>
      </c>
      <c r="F106" s="483">
        <f t="shared" si="21"/>
        <v>6692629.8700000001</v>
      </c>
      <c r="G106" s="483">
        <f t="shared" si="22"/>
        <v>6799830.8700000001</v>
      </c>
      <c r="H106" s="484">
        <f t="shared" si="23"/>
        <v>991126.64155562897</v>
      </c>
      <c r="I106" s="540">
        <f t="shared" si="24"/>
        <v>991126.64155562897</v>
      </c>
      <c r="J106" s="476">
        <f t="shared" si="16"/>
        <v>0</v>
      </c>
      <c r="K106" s="476"/>
      <c r="L106" s="485"/>
      <c r="M106" s="476">
        <f t="shared" si="25"/>
        <v>0</v>
      </c>
      <c r="N106" s="485"/>
      <c r="O106" s="476">
        <f t="shared" si="14"/>
        <v>0</v>
      </c>
      <c r="P106" s="476">
        <f t="shared" si="15"/>
        <v>0</v>
      </c>
    </row>
    <row r="107" spans="1:16" ht="12.5">
      <c r="B107" s="160" t="str">
        <f t="shared" si="17"/>
        <v/>
      </c>
      <c r="C107" s="470">
        <f>IF(D93="","-",+C106+1)</f>
        <v>2027</v>
      </c>
      <c r="D107" s="345">
        <f>IF(F106+SUM(E$99:E106)=D$92,F106,D$92-SUM(E$99:E106))</f>
        <v>6692629.8700000001</v>
      </c>
      <c r="E107" s="482">
        <f t="shared" si="20"/>
        <v>214402</v>
      </c>
      <c r="F107" s="483">
        <f t="shared" si="21"/>
        <v>6478227.8700000001</v>
      </c>
      <c r="G107" s="483">
        <f t="shared" si="22"/>
        <v>6585428.8700000001</v>
      </c>
      <c r="H107" s="484">
        <f t="shared" si="23"/>
        <v>966636.13292643265</v>
      </c>
      <c r="I107" s="540">
        <f t="shared" si="24"/>
        <v>966636.13292643265</v>
      </c>
      <c r="J107" s="476">
        <f t="shared" si="16"/>
        <v>0</v>
      </c>
      <c r="K107" s="476"/>
      <c r="L107" s="485"/>
      <c r="M107" s="476">
        <f t="shared" si="25"/>
        <v>0</v>
      </c>
      <c r="N107" s="485"/>
      <c r="O107" s="476">
        <f t="shared" si="14"/>
        <v>0</v>
      </c>
      <c r="P107" s="476">
        <f t="shared" si="15"/>
        <v>0</v>
      </c>
    </row>
    <row r="108" spans="1:16" ht="12.5">
      <c r="B108" s="160" t="str">
        <f t="shared" si="17"/>
        <v/>
      </c>
      <c r="C108" s="470">
        <f>IF(D93="","-",+C107+1)</f>
        <v>2028</v>
      </c>
      <c r="D108" s="345">
        <f>IF(F107+SUM(E$99:E107)=D$92,F107,D$92-SUM(E$99:E107))</f>
        <v>6478227.8700000001</v>
      </c>
      <c r="E108" s="482">
        <f t="shared" si="20"/>
        <v>214402</v>
      </c>
      <c r="F108" s="483">
        <f t="shared" si="21"/>
        <v>6263825.8700000001</v>
      </c>
      <c r="G108" s="483">
        <f t="shared" si="22"/>
        <v>6371026.8700000001</v>
      </c>
      <c r="H108" s="484">
        <f t="shared" si="23"/>
        <v>942145.62429723644</v>
      </c>
      <c r="I108" s="540">
        <f t="shared" si="24"/>
        <v>942145.62429723644</v>
      </c>
      <c r="J108" s="476">
        <f t="shared" si="16"/>
        <v>0</v>
      </c>
      <c r="K108" s="476"/>
      <c r="L108" s="485"/>
      <c r="M108" s="476">
        <f t="shared" si="25"/>
        <v>0</v>
      </c>
      <c r="N108" s="485"/>
      <c r="O108" s="476">
        <f t="shared" si="14"/>
        <v>0</v>
      </c>
      <c r="P108" s="476">
        <f t="shared" si="15"/>
        <v>0</v>
      </c>
    </row>
    <row r="109" spans="1:16" ht="12.5">
      <c r="B109" s="160" t="str">
        <f t="shared" si="17"/>
        <v/>
      </c>
      <c r="C109" s="470">
        <f>IF(D93="","-",+C108+1)</f>
        <v>2029</v>
      </c>
      <c r="D109" s="345">
        <f>IF(F108+SUM(E$99:E108)=D$92,F108,D$92-SUM(E$99:E108))</f>
        <v>6263825.8700000001</v>
      </c>
      <c r="E109" s="482">
        <f t="shared" si="20"/>
        <v>214402</v>
      </c>
      <c r="F109" s="483">
        <f t="shared" si="21"/>
        <v>6049423.8700000001</v>
      </c>
      <c r="G109" s="483">
        <f t="shared" si="22"/>
        <v>6156624.8700000001</v>
      </c>
      <c r="H109" s="484">
        <f t="shared" si="23"/>
        <v>917655.11566804023</v>
      </c>
      <c r="I109" s="540">
        <f t="shared" si="24"/>
        <v>917655.11566804023</v>
      </c>
      <c r="J109" s="476">
        <f t="shared" si="16"/>
        <v>0</v>
      </c>
      <c r="K109" s="476"/>
      <c r="L109" s="485"/>
      <c r="M109" s="476">
        <f t="shared" si="25"/>
        <v>0</v>
      </c>
      <c r="N109" s="485"/>
      <c r="O109" s="476">
        <f t="shared" si="14"/>
        <v>0</v>
      </c>
      <c r="P109" s="476">
        <f t="shared" si="15"/>
        <v>0</v>
      </c>
    </row>
    <row r="110" spans="1:16" ht="12.5">
      <c r="B110" s="160" t="str">
        <f t="shared" si="17"/>
        <v/>
      </c>
      <c r="C110" s="470">
        <f>IF(D93="","-",+C109+1)</f>
        <v>2030</v>
      </c>
      <c r="D110" s="345">
        <f>IF(F109+SUM(E$99:E109)=D$92,F109,D$92-SUM(E$99:E109))</f>
        <v>6049423.8700000001</v>
      </c>
      <c r="E110" s="482">
        <f t="shared" si="20"/>
        <v>214402</v>
      </c>
      <c r="F110" s="483">
        <f t="shared" si="21"/>
        <v>5835021.8700000001</v>
      </c>
      <c r="G110" s="483">
        <f t="shared" si="22"/>
        <v>5942222.8700000001</v>
      </c>
      <c r="H110" s="484">
        <f t="shared" si="23"/>
        <v>893164.60703884403</v>
      </c>
      <c r="I110" s="540">
        <f t="shared" si="24"/>
        <v>893164.60703884403</v>
      </c>
      <c r="J110" s="476">
        <f t="shared" si="16"/>
        <v>0</v>
      </c>
      <c r="K110" s="476"/>
      <c r="L110" s="485"/>
      <c r="M110" s="476">
        <f t="shared" si="25"/>
        <v>0</v>
      </c>
      <c r="N110" s="485"/>
      <c r="O110" s="476">
        <f t="shared" si="14"/>
        <v>0</v>
      </c>
      <c r="P110" s="476">
        <f t="shared" si="15"/>
        <v>0</v>
      </c>
    </row>
    <row r="111" spans="1:16" ht="12.5">
      <c r="B111" s="160" t="str">
        <f t="shared" si="17"/>
        <v/>
      </c>
      <c r="C111" s="470">
        <f>IF(D93="","-",+C110+1)</f>
        <v>2031</v>
      </c>
      <c r="D111" s="345">
        <f>IF(F110+SUM(E$99:E110)=D$92,F110,D$92-SUM(E$99:E110))</f>
        <v>5835021.8700000001</v>
      </c>
      <c r="E111" s="482">
        <f t="shared" si="20"/>
        <v>214402</v>
      </c>
      <c r="F111" s="483">
        <f t="shared" si="21"/>
        <v>5620619.8700000001</v>
      </c>
      <c r="G111" s="483">
        <f t="shared" si="22"/>
        <v>5727820.8700000001</v>
      </c>
      <c r="H111" s="484">
        <f t="shared" si="23"/>
        <v>868674.0984096477</v>
      </c>
      <c r="I111" s="540">
        <f t="shared" si="24"/>
        <v>868674.0984096477</v>
      </c>
      <c r="J111" s="476">
        <f t="shared" si="16"/>
        <v>0</v>
      </c>
      <c r="K111" s="476"/>
      <c r="L111" s="485"/>
      <c r="M111" s="476">
        <f t="shared" si="25"/>
        <v>0</v>
      </c>
      <c r="N111" s="485"/>
      <c r="O111" s="476">
        <f t="shared" si="14"/>
        <v>0</v>
      </c>
      <c r="P111" s="476">
        <f t="shared" si="15"/>
        <v>0</v>
      </c>
    </row>
    <row r="112" spans="1:16" ht="12.5">
      <c r="B112" s="160" t="str">
        <f t="shared" si="17"/>
        <v/>
      </c>
      <c r="C112" s="470">
        <f>IF(D93="","-",+C111+1)</f>
        <v>2032</v>
      </c>
      <c r="D112" s="345">
        <f>IF(F111+SUM(E$99:E111)=D$92,F111,D$92-SUM(E$99:E111))</f>
        <v>5620619.8700000001</v>
      </c>
      <c r="E112" s="482">
        <f t="shared" si="20"/>
        <v>214402</v>
      </c>
      <c r="F112" s="483">
        <f t="shared" si="21"/>
        <v>5406217.8700000001</v>
      </c>
      <c r="G112" s="483">
        <f t="shared" si="22"/>
        <v>5513418.8700000001</v>
      </c>
      <c r="H112" s="484">
        <f t="shared" si="23"/>
        <v>844183.5897804515</v>
      </c>
      <c r="I112" s="540">
        <f t="shared" si="24"/>
        <v>844183.5897804515</v>
      </c>
      <c r="J112" s="476">
        <f t="shared" si="16"/>
        <v>0</v>
      </c>
      <c r="K112" s="476"/>
      <c r="L112" s="485"/>
      <c r="M112" s="476">
        <f t="shared" si="25"/>
        <v>0</v>
      </c>
      <c r="N112" s="485"/>
      <c r="O112" s="476">
        <f t="shared" si="14"/>
        <v>0</v>
      </c>
      <c r="P112" s="476">
        <f t="shared" si="15"/>
        <v>0</v>
      </c>
    </row>
    <row r="113" spans="2:16" ht="12.5">
      <c r="B113" s="160" t="str">
        <f t="shared" si="17"/>
        <v/>
      </c>
      <c r="C113" s="470">
        <f>IF(D93="","-",+C112+1)</f>
        <v>2033</v>
      </c>
      <c r="D113" s="345">
        <f>IF(F112+SUM(E$99:E112)=D$92,F112,D$92-SUM(E$99:E112))</f>
        <v>5406217.8700000001</v>
      </c>
      <c r="E113" s="482">
        <f t="shared" si="20"/>
        <v>214402</v>
      </c>
      <c r="F113" s="483">
        <f t="shared" si="21"/>
        <v>5191815.87</v>
      </c>
      <c r="G113" s="483">
        <f t="shared" si="22"/>
        <v>5299016.87</v>
      </c>
      <c r="H113" s="484">
        <f t="shared" si="23"/>
        <v>819693.08115125529</v>
      </c>
      <c r="I113" s="540">
        <f t="shared" si="24"/>
        <v>819693.08115125529</v>
      </c>
      <c r="J113" s="476">
        <f t="shared" si="16"/>
        <v>0</v>
      </c>
      <c r="K113" s="476"/>
      <c r="L113" s="485"/>
      <c r="M113" s="476">
        <f t="shared" si="25"/>
        <v>0</v>
      </c>
      <c r="N113" s="485"/>
      <c r="O113" s="476">
        <f t="shared" si="14"/>
        <v>0</v>
      </c>
      <c r="P113" s="476">
        <f t="shared" si="15"/>
        <v>0</v>
      </c>
    </row>
    <row r="114" spans="2:16" ht="12.5">
      <c r="B114" s="160" t="str">
        <f t="shared" si="17"/>
        <v/>
      </c>
      <c r="C114" s="470">
        <f>IF(D93="","-",+C113+1)</f>
        <v>2034</v>
      </c>
      <c r="D114" s="345">
        <f>IF(F113+SUM(E$99:E113)=D$92,F113,D$92-SUM(E$99:E113))</f>
        <v>5191815.87</v>
      </c>
      <c r="E114" s="482">
        <f t="shared" si="20"/>
        <v>214402</v>
      </c>
      <c r="F114" s="483">
        <f t="shared" si="21"/>
        <v>4977413.87</v>
      </c>
      <c r="G114" s="483">
        <f t="shared" si="22"/>
        <v>5084614.87</v>
      </c>
      <c r="H114" s="484">
        <f t="shared" si="23"/>
        <v>795202.57252205908</v>
      </c>
      <c r="I114" s="540">
        <f t="shared" si="24"/>
        <v>795202.57252205908</v>
      </c>
      <c r="J114" s="476">
        <f t="shared" si="16"/>
        <v>0</v>
      </c>
      <c r="K114" s="476"/>
      <c r="L114" s="485"/>
      <c r="M114" s="476">
        <f t="shared" si="25"/>
        <v>0</v>
      </c>
      <c r="N114" s="485"/>
      <c r="O114" s="476">
        <f t="shared" si="14"/>
        <v>0</v>
      </c>
      <c r="P114" s="476">
        <f t="shared" si="15"/>
        <v>0</v>
      </c>
    </row>
    <row r="115" spans="2:16" ht="12.5">
      <c r="B115" s="160" t="str">
        <f t="shared" si="17"/>
        <v/>
      </c>
      <c r="C115" s="470">
        <f>IF(D93="","-",+C114+1)</f>
        <v>2035</v>
      </c>
      <c r="D115" s="345">
        <f>IF(F114+SUM(E$99:E114)=D$92,F114,D$92-SUM(E$99:E114))</f>
        <v>4977413.87</v>
      </c>
      <c r="E115" s="482">
        <f t="shared" si="20"/>
        <v>214402</v>
      </c>
      <c r="F115" s="483">
        <f t="shared" si="21"/>
        <v>4763011.87</v>
      </c>
      <c r="G115" s="483">
        <f t="shared" si="22"/>
        <v>4870212.87</v>
      </c>
      <c r="H115" s="484">
        <f t="shared" si="23"/>
        <v>770712.06389286276</v>
      </c>
      <c r="I115" s="540">
        <f t="shared" si="24"/>
        <v>770712.06389286276</v>
      </c>
      <c r="J115" s="476">
        <f t="shared" si="16"/>
        <v>0</v>
      </c>
      <c r="K115" s="476"/>
      <c r="L115" s="485"/>
      <c r="M115" s="476">
        <f t="shared" si="25"/>
        <v>0</v>
      </c>
      <c r="N115" s="485"/>
      <c r="O115" s="476">
        <f t="shared" si="14"/>
        <v>0</v>
      </c>
      <c r="P115" s="476">
        <f t="shared" si="15"/>
        <v>0</v>
      </c>
    </row>
    <row r="116" spans="2:16" ht="12.5">
      <c r="B116" s="160" t="str">
        <f t="shared" si="17"/>
        <v/>
      </c>
      <c r="C116" s="470">
        <f>IF(D93="","-",+C115+1)</f>
        <v>2036</v>
      </c>
      <c r="D116" s="345">
        <f>IF(F115+SUM(E$99:E115)=D$92,F115,D$92-SUM(E$99:E115))</f>
        <v>4763011.87</v>
      </c>
      <c r="E116" s="482">
        <f t="shared" si="20"/>
        <v>214402</v>
      </c>
      <c r="F116" s="483">
        <f t="shared" si="21"/>
        <v>4548609.87</v>
      </c>
      <c r="G116" s="483">
        <f t="shared" si="22"/>
        <v>4655810.87</v>
      </c>
      <c r="H116" s="484">
        <f t="shared" si="23"/>
        <v>746221.55526366655</v>
      </c>
      <c r="I116" s="540">
        <f t="shared" si="24"/>
        <v>746221.55526366655</v>
      </c>
      <c r="J116" s="476">
        <f t="shared" si="16"/>
        <v>0</v>
      </c>
      <c r="K116" s="476"/>
      <c r="L116" s="485"/>
      <c r="M116" s="476">
        <f t="shared" si="25"/>
        <v>0</v>
      </c>
      <c r="N116" s="485"/>
      <c r="O116" s="476">
        <f t="shared" si="14"/>
        <v>0</v>
      </c>
      <c r="P116" s="476">
        <f t="shared" si="15"/>
        <v>0</v>
      </c>
    </row>
    <row r="117" spans="2:16" ht="12.5">
      <c r="B117" s="160" t="str">
        <f t="shared" si="17"/>
        <v/>
      </c>
      <c r="C117" s="470">
        <f>IF(D93="","-",+C116+1)</f>
        <v>2037</v>
      </c>
      <c r="D117" s="345">
        <f>IF(F116+SUM(E$99:E116)=D$92,F116,D$92-SUM(E$99:E116))</f>
        <v>4548609.87</v>
      </c>
      <c r="E117" s="482">
        <f t="shared" si="20"/>
        <v>214402</v>
      </c>
      <c r="F117" s="483">
        <f t="shared" si="21"/>
        <v>4334207.87</v>
      </c>
      <c r="G117" s="483">
        <f t="shared" si="22"/>
        <v>4441408.87</v>
      </c>
      <c r="H117" s="484">
        <f t="shared" si="23"/>
        <v>721731.04663447035</v>
      </c>
      <c r="I117" s="540">
        <f t="shared" si="24"/>
        <v>721731.04663447035</v>
      </c>
      <c r="J117" s="476">
        <f t="shared" si="16"/>
        <v>0</v>
      </c>
      <c r="K117" s="476"/>
      <c r="L117" s="485"/>
      <c r="M117" s="476">
        <f t="shared" si="25"/>
        <v>0</v>
      </c>
      <c r="N117" s="485"/>
      <c r="O117" s="476">
        <f t="shared" si="14"/>
        <v>0</v>
      </c>
      <c r="P117" s="476">
        <f t="shared" si="15"/>
        <v>0</v>
      </c>
    </row>
    <row r="118" spans="2:16" ht="12.5">
      <c r="B118" s="160" t="str">
        <f t="shared" si="17"/>
        <v/>
      </c>
      <c r="C118" s="470">
        <f>IF(D93="","-",+C117+1)</f>
        <v>2038</v>
      </c>
      <c r="D118" s="345">
        <f>IF(F117+SUM(E$99:E117)=D$92,F117,D$92-SUM(E$99:E117))</f>
        <v>4334207.87</v>
      </c>
      <c r="E118" s="482">
        <f t="shared" si="20"/>
        <v>214402</v>
      </c>
      <c r="F118" s="483">
        <f t="shared" si="21"/>
        <v>4119805.87</v>
      </c>
      <c r="G118" s="483">
        <f t="shared" si="22"/>
        <v>4227006.87</v>
      </c>
      <c r="H118" s="484">
        <f t="shared" si="23"/>
        <v>697240.53800527402</v>
      </c>
      <c r="I118" s="540">
        <f t="shared" si="24"/>
        <v>697240.53800527402</v>
      </c>
      <c r="J118" s="476">
        <f t="shared" si="16"/>
        <v>0</v>
      </c>
      <c r="K118" s="476"/>
      <c r="L118" s="485"/>
      <c r="M118" s="476">
        <f t="shared" si="25"/>
        <v>0</v>
      </c>
      <c r="N118" s="485"/>
      <c r="O118" s="476">
        <f t="shared" si="14"/>
        <v>0</v>
      </c>
      <c r="P118" s="476">
        <f t="shared" si="15"/>
        <v>0</v>
      </c>
    </row>
    <row r="119" spans="2:16" ht="12.5">
      <c r="B119" s="160" t="str">
        <f t="shared" si="17"/>
        <v/>
      </c>
      <c r="C119" s="470">
        <f>IF(D93="","-",+C118+1)</f>
        <v>2039</v>
      </c>
      <c r="D119" s="345">
        <f>IF(F118+SUM(E$99:E118)=D$92,F118,D$92-SUM(E$99:E118))</f>
        <v>4119805.87</v>
      </c>
      <c r="E119" s="482">
        <f t="shared" si="20"/>
        <v>214402</v>
      </c>
      <c r="F119" s="483">
        <f t="shared" si="21"/>
        <v>3905403.87</v>
      </c>
      <c r="G119" s="483">
        <f t="shared" si="22"/>
        <v>4012604.87</v>
      </c>
      <c r="H119" s="484">
        <f t="shared" si="23"/>
        <v>672750.02937607793</v>
      </c>
      <c r="I119" s="540">
        <f t="shared" si="24"/>
        <v>672750.02937607793</v>
      </c>
      <c r="J119" s="476">
        <f t="shared" si="16"/>
        <v>0</v>
      </c>
      <c r="K119" s="476"/>
      <c r="L119" s="485"/>
      <c r="M119" s="476">
        <f t="shared" si="25"/>
        <v>0</v>
      </c>
      <c r="N119" s="485"/>
      <c r="O119" s="476">
        <f t="shared" si="14"/>
        <v>0</v>
      </c>
      <c r="P119" s="476">
        <f t="shared" si="15"/>
        <v>0</v>
      </c>
    </row>
    <row r="120" spans="2:16" ht="12.5">
      <c r="B120" s="160" t="str">
        <f t="shared" si="17"/>
        <v/>
      </c>
      <c r="C120" s="470">
        <f>IF(D93="","-",+C119+1)</f>
        <v>2040</v>
      </c>
      <c r="D120" s="345">
        <f>IF(F119+SUM(E$99:E119)=D$92,F119,D$92-SUM(E$99:E119))</f>
        <v>3905403.87</v>
      </c>
      <c r="E120" s="482">
        <f t="shared" si="20"/>
        <v>214402</v>
      </c>
      <c r="F120" s="483">
        <f t="shared" si="21"/>
        <v>3691001.87</v>
      </c>
      <c r="G120" s="483">
        <f t="shared" si="22"/>
        <v>3798202.87</v>
      </c>
      <c r="H120" s="484">
        <f t="shared" si="23"/>
        <v>648259.52074688161</v>
      </c>
      <c r="I120" s="540">
        <f t="shared" si="24"/>
        <v>648259.52074688161</v>
      </c>
      <c r="J120" s="476">
        <f t="shared" si="16"/>
        <v>0</v>
      </c>
      <c r="K120" s="476"/>
      <c r="L120" s="485"/>
      <c r="M120" s="476">
        <f t="shared" si="25"/>
        <v>0</v>
      </c>
      <c r="N120" s="485"/>
      <c r="O120" s="476">
        <f t="shared" si="14"/>
        <v>0</v>
      </c>
      <c r="P120" s="476">
        <f t="shared" si="15"/>
        <v>0</v>
      </c>
    </row>
    <row r="121" spans="2:16" ht="12.5">
      <c r="B121" s="160" t="str">
        <f t="shared" si="17"/>
        <v/>
      </c>
      <c r="C121" s="470">
        <f>IF(D93="","-",+C120+1)</f>
        <v>2041</v>
      </c>
      <c r="D121" s="345">
        <f>IF(F120+SUM(E$99:E120)=D$92,F120,D$92-SUM(E$99:E120))</f>
        <v>3691001.87</v>
      </c>
      <c r="E121" s="482">
        <f t="shared" si="20"/>
        <v>214402</v>
      </c>
      <c r="F121" s="483">
        <f t="shared" si="21"/>
        <v>3476599.87</v>
      </c>
      <c r="G121" s="483">
        <f t="shared" si="22"/>
        <v>3583800.87</v>
      </c>
      <c r="H121" s="484">
        <f t="shared" si="23"/>
        <v>623769.0121176854</v>
      </c>
      <c r="I121" s="540">
        <f t="shared" si="24"/>
        <v>623769.0121176854</v>
      </c>
      <c r="J121" s="476">
        <f t="shared" si="16"/>
        <v>0</v>
      </c>
      <c r="K121" s="476"/>
      <c r="L121" s="485"/>
      <c r="M121" s="476">
        <f t="shared" si="25"/>
        <v>0</v>
      </c>
      <c r="N121" s="485"/>
      <c r="O121" s="476">
        <f t="shared" si="14"/>
        <v>0</v>
      </c>
      <c r="P121" s="476">
        <f t="shared" si="15"/>
        <v>0</v>
      </c>
    </row>
    <row r="122" spans="2:16" ht="12.5">
      <c r="B122" s="160" t="str">
        <f t="shared" si="17"/>
        <v/>
      </c>
      <c r="C122" s="470">
        <f>IF(D93="","-",+C121+1)</f>
        <v>2042</v>
      </c>
      <c r="D122" s="345">
        <f>IF(F121+SUM(E$99:E121)=D$92,F121,D$92-SUM(E$99:E121))</f>
        <v>3476599.87</v>
      </c>
      <c r="E122" s="482">
        <f t="shared" si="20"/>
        <v>214402</v>
      </c>
      <c r="F122" s="483">
        <f t="shared" si="21"/>
        <v>3262197.87</v>
      </c>
      <c r="G122" s="483">
        <f t="shared" si="22"/>
        <v>3369398.87</v>
      </c>
      <c r="H122" s="484">
        <f t="shared" si="23"/>
        <v>599278.50348848919</v>
      </c>
      <c r="I122" s="540">
        <f t="shared" si="24"/>
        <v>599278.50348848919</v>
      </c>
      <c r="J122" s="476">
        <f t="shared" si="16"/>
        <v>0</v>
      </c>
      <c r="K122" s="476"/>
      <c r="L122" s="485"/>
      <c r="M122" s="476">
        <f t="shared" si="25"/>
        <v>0</v>
      </c>
      <c r="N122" s="485"/>
      <c r="O122" s="476">
        <f t="shared" si="14"/>
        <v>0</v>
      </c>
      <c r="P122" s="476">
        <f t="shared" si="15"/>
        <v>0</v>
      </c>
    </row>
    <row r="123" spans="2:16" ht="12.5">
      <c r="B123" s="160" t="str">
        <f t="shared" si="17"/>
        <v/>
      </c>
      <c r="C123" s="470">
        <f>IF(D93="","-",+C122+1)</f>
        <v>2043</v>
      </c>
      <c r="D123" s="345">
        <f>IF(F122+SUM(E$99:E122)=D$92,F122,D$92-SUM(E$99:E122))</f>
        <v>3262197.87</v>
      </c>
      <c r="E123" s="482">
        <f t="shared" si="20"/>
        <v>214402</v>
      </c>
      <c r="F123" s="483">
        <f t="shared" si="21"/>
        <v>3047795.87</v>
      </c>
      <c r="G123" s="483">
        <f t="shared" si="22"/>
        <v>3154996.87</v>
      </c>
      <c r="H123" s="484">
        <f t="shared" si="23"/>
        <v>574787.99485929287</v>
      </c>
      <c r="I123" s="540">
        <f t="shared" si="24"/>
        <v>574787.99485929287</v>
      </c>
      <c r="J123" s="476">
        <f t="shared" si="16"/>
        <v>0</v>
      </c>
      <c r="K123" s="476"/>
      <c r="L123" s="485"/>
      <c r="M123" s="476">
        <f t="shared" si="25"/>
        <v>0</v>
      </c>
      <c r="N123" s="485"/>
      <c r="O123" s="476">
        <f t="shared" si="14"/>
        <v>0</v>
      </c>
      <c r="P123" s="476">
        <f t="shared" si="15"/>
        <v>0</v>
      </c>
    </row>
    <row r="124" spans="2:16" ht="12.5">
      <c r="B124" s="160" t="str">
        <f t="shared" si="17"/>
        <v/>
      </c>
      <c r="C124" s="470">
        <f>IF(D93="","-",+C123+1)</f>
        <v>2044</v>
      </c>
      <c r="D124" s="345">
        <f>IF(F123+SUM(E$99:E123)=D$92,F123,D$92-SUM(E$99:E123))</f>
        <v>3047795.87</v>
      </c>
      <c r="E124" s="482">
        <f t="shared" si="20"/>
        <v>214402</v>
      </c>
      <c r="F124" s="483">
        <f t="shared" si="21"/>
        <v>2833393.87</v>
      </c>
      <c r="G124" s="483">
        <f t="shared" si="22"/>
        <v>2940594.87</v>
      </c>
      <c r="H124" s="484">
        <f t="shared" si="23"/>
        <v>550297.48623009666</v>
      </c>
      <c r="I124" s="540">
        <f t="shared" si="24"/>
        <v>550297.48623009666</v>
      </c>
      <c r="J124" s="476">
        <f t="shared" si="16"/>
        <v>0</v>
      </c>
      <c r="K124" s="476"/>
      <c r="L124" s="485"/>
      <c r="M124" s="476">
        <f t="shared" si="25"/>
        <v>0</v>
      </c>
      <c r="N124" s="485"/>
      <c r="O124" s="476">
        <f t="shared" si="14"/>
        <v>0</v>
      </c>
      <c r="P124" s="476">
        <f t="shared" si="15"/>
        <v>0</v>
      </c>
    </row>
    <row r="125" spans="2:16" ht="12.5">
      <c r="B125" s="160" t="str">
        <f t="shared" si="17"/>
        <v/>
      </c>
      <c r="C125" s="470">
        <f>IF(D93="","-",+C124+1)</f>
        <v>2045</v>
      </c>
      <c r="D125" s="345">
        <f>IF(F124+SUM(E$99:E124)=D$92,F124,D$92-SUM(E$99:E124))</f>
        <v>2833393.87</v>
      </c>
      <c r="E125" s="482">
        <f t="shared" si="20"/>
        <v>214402</v>
      </c>
      <c r="F125" s="483">
        <f t="shared" si="21"/>
        <v>2618991.87</v>
      </c>
      <c r="G125" s="483">
        <f t="shared" si="22"/>
        <v>2726192.87</v>
      </c>
      <c r="H125" s="484">
        <f t="shared" si="23"/>
        <v>525806.97760090046</v>
      </c>
      <c r="I125" s="540">
        <f t="shared" si="24"/>
        <v>525806.97760090046</v>
      </c>
      <c r="J125" s="476">
        <f t="shared" si="16"/>
        <v>0</v>
      </c>
      <c r="K125" s="476"/>
      <c r="L125" s="485"/>
      <c r="M125" s="476">
        <f t="shared" si="25"/>
        <v>0</v>
      </c>
      <c r="N125" s="485"/>
      <c r="O125" s="476">
        <f t="shared" si="14"/>
        <v>0</v>
      </c>
      <c r="P125" s="476">
        <f t="shared" si="15"/>
        <v>0</v>
      </c>
    </row>
    <row r="126" spans="2:16" ht="12.5">
      <c r="B126" s="160" t="str">
        <f t="shared" si="17"/>
        <v/>
      </c>
      <c r="C126" s="470">
        <f>IF(D93="","-",+C125+1)</f>
        <v>2046</v>
      </c>
      <c r="D126" s="345">
        <f>IF(F125+SUM(E$99:E125)=D$92,F125,D$92-SUM(E$99:E125))</f>
        <v>2618991.87</v>
      </c>
      <c r="E126" s="482">
        <f t="shared" si="20"/>
        <v>214402</v>
      </c>
      <c r="F126" s="483">
        <f t="shared" si="21"/>
        <v>2404589.87</v>
      </c>
      <c r="G126" s="483">
        <f t="shared" si="22"/>
        <v>2511790.87</v>
      </c>
      <c r="H126" s="484">
        <f t="shared" si="23"/>
        <v>501316.46897170419</v>
      </c>
      <c r="I126" s="540">
        <f t="shared" si="24"/>
        <v>501316.46897170419</v>
      </c>
      <c r="J126" s="476">
        <f t="shared" si="16"/>
        <v>0</v>
      </c>
      <c r="K126" s="476"/>
      <c r="L126" s="485"/>
      <c r="M126" s="476">
        <f t="shared" si="25"/>
        <v>0</v>
      </c>
      <c r="N126" s="485"/>
      <c r="O126" s="476">
        <f t="shared" si="14"/>
        <v>0</v>
      </c>
      <c r="P126" s="476">
        <f t="shared" si="15"/>
        <v>0</v>
      </c>
    </row>
    <row r="127" spans="2:16" ht="12.5">
      <c r="B127" s="160" t="str">
        <f t="shared" si="17"/>
        <v/>
      </c>
      <c r="C127" s="470">
        <f>IF(D93="","-",+C126+1)</f>
        <v>2047</v>
      </c>
      <c r="D127" s="345">
        <f>IF(F126+SUM(E$99:E126)=D$92,F126,D$92-SUM(E$99:E126))</f>
        <v>2404589.87</v>
      </c>
      <c r="E127" s="482">
        <f t="shared" si="20"/>
        <v>214402</v>
      </c>
      <c r="F127" s="483">
        <f t="shared" si="21"/>
        <v>2190187.87</v>
      </c>
      <c r="G127" s="483">
        <f t="shared" si="22"/>
        <v>2297388.87</v>
      </c>
      <c r="H127" s="484">
        <f t="shared" si="23"/>
        <v>476825.96034250798</v>
      </c>
      <c r="I127" s="540">
        <f t="shared" si="24"/>
        <v>476825.96034250798</v>
      </c>
      <c r="J127" s="476">
        <f t="shared" si="16"/>
        <v>0</v>
      </c>
      <c r="K127" s="476"/>
      <c r="L127" s="485"/>
      <c r="M127" s="476">
        <f t="shared" si="25"/>
        <v>0</v>
      </c>
      <c r="N127" s="485"/>
      <c r="O127" s="476">
        <f t="shared" si="14"/>
        <v>0</v>
      </c>
      <c r="P127" s="476">
        <f t="shared" si="15"/>
        <v>0</v>
      </c>
    </row>
    <row r="128" spans="2:16" ht="12.5">
      <c r="B128" s="160" t="str">
        <f t="shared" si="17"/>
        <v/>
      </c>
      <c r="C128" s="470">
        <f>IF(D93="","-",+C127+1)</f>
        <v>2048</v>
      </c>
      <c r="D128" s="345">
        <f>IF(F127+SUM(E$99:E127)=D$92,F127,D$92-SUM(E$99:E127))</f>
        <v>2190187.87</v>
      </c>
      <c r="E128" s="482">
        <f t="shared" si="20"/>
        <v>214402</v>
      </c>
      <c r="F128" s="483">
        <f t="shared" si="21"/>
        <v>1975785.87</v>
      </c>
      <c r="G128" s="483">
        <f t="shared" si="22"/>
        <v>2082986.87</v>
      </c>
      <c r="H128" s="484">
        <f t="shared" si="23"/>
        <v>452335.45171331172</v>
      </c>
      <c r="I128" s="540">
        <f t="shared" si="24"/>
        <v>452335.45171331172</v>
      </c>
      <c r="J128" s="476">
        <f t="shared" si="16"/>
        <v>0</v>
      </c>
      <c r="K128" s="476"/>
      <c r="L128" s="485"/>
      <c r="M128" s="476">
        <f t="shared" si="25"/>
        <v>0</v>
      </c>
      <c r="N128" s="485"/>
      <c r="O128" s="476">
        <f t="shared" si="14"/>
        <v>0</v>
      </c>
      <c r="P128" s="476">
        <f t="shared" si="15"/>
        <v>0</v>
      </c>
    </row>
    <row r="129" spans="2:16" ht="12.5">
      <c r="B129" s="160" t="str">
        <f t="shared" si="17"/>
        <v/>
      </c>
      <c r="C129" s="470">
        <f>IF(D93="","-",+C128+1)</f>
        <v>2049</v>
      </c>
      <c r="D129" s="345">
        <f>IF(F128+SUM(E$99:E128)=D$92,F128,D$92-SUM(E$99:E128))</f>
        <v>1975785.87</v>
      </c>
      <c r="E129" s="482">
        <f t="shared" si="20"/>
        <v>214402</v>
      </c>
      <c r="F129" s="483">
        <f t="shared" si="21"/>
        <v>1761383.87</v>
      </c>
      <c r="G129" s="483">
        <f t="shared" si="22"/>
        <v>1868584.87</v>
      </c>
      <c r="H129" s="484">
        <f t="shared" si="23"/>
        <v>427844.94308411551</v>
      </c>
      <c r="I129" s="540">
        <f t="shared" si="24"/>
        <v>427844.94308411551</v>
      </c>
      <c r="J129" s="476">
        <f t="shared" si="16"/>
        <v>0</v>
      </c>
      <c r="K129" s="476"/>
      <c r="L129" s="485"/>
      <c r="M129" s="476">
        <f t="shared" si="25"/>
        <v>0</v>
      </c>
      <c r="N129" s="485"/>
      <c r="O129" s="476">
        <f t="shared" si="14"/>
        <v>0</v>
      </c>
      <c r="P129" s="476">
        <f t="shared" si="15"/>
        <v>0</v>
      </c>
    </row>
    <row r="130" spans="2:16" ht="12.5">
      <c r="B130" s="160" t="str">
        <f t="shared" si="17"/>
        <v/>
      </c>
      <c r="C130" s="470">
        <f>IF(D93="","-",+C129+1)</f>
        <v>2050</v>
      </c>
      <c r="D130" s="345">
        <f>IF(F129+SUM(E$99:E129)=D$92,F129,D$92-SUM(E$99:E129))</f>
        <v>1761383.87</v>
      </c>
      <c r="E130" s="482">
        <f t="shared" si="20"/>
        <v>214402</v>
      </c>
      <c r="F130" s="483">
        <f t="shared" si="21"/>
        <v>1546981.87</v>
      </c>
      <c r="G130" s="483">
        <f t="shared" si="22"/>
        <v>1654182.87</v>
      </c>
      <c r="H130" s="484">
        <f t="shared" si="23"/>
        <v>403354.43445491925</v>
      </c>
      <c r="I130" s="540">
        <f t="shared" si="24"/>
        <v>403354.43445491925</v>
      </c>
      <c r="J130" s="476">
        <f t="shared" si="16"/>
        <v>0</v>
      </c>
      <c r="K130" s="476"/>
      <c r="L130" s="485"/>
      <c r="M130" s="476">
        <f t="shared" si="25"/>
        <v>0</v>
      </c>
      <c r="N130" s="485"/>
      <c r="O130" s="476">
        <f t="shared" si="14"/>
        <v>0</v>
      </c>
      <c r="P130" s="476">
        <f t="shared" si="15"/>
        <v>0</v>
      </c>
    </row>
    <row r="131" spans="2:16" ht="12.5">
      <c r="B131" s="160" t="str">
        <f t="shared" si="17"/>
        <v/>
      </c>
      <c r="C131" s="470">
        <f>IF(D93="","-",+C130+1)</f>
        <v>2051</v>
      </c>
      <c r="D131" s="345">
        <f>IF(F130+SUM(E$99:E130)=D$92,F130,D$92-SUM(E$99:E130))</f>
        <v>1546981.87</v>
      </c>
      <c r="E131" s="482">
        <f t="shared" si="20"/>
        <v>214402</v>
      </c>
      <c r="F131" s="483">
        <f t="shared" si="21"/>
        <v>1332579.8700000001</v>
      </c>
      <c r="G131" s="483">
        <f t="shared" si="22"/>
        <v>1439780.87</v>
      </c>
      <c r="H131" s="484">
        <f t="shared" si="23"/>
        <v>378863.92582572298</v>
      </c>
      <c r="I131" s="540">
        <f t="shared" si="24"/>
        <v>378863.92582572298</v>
      </c>
      <c r="J131" s="476">
        <f t="shared" ref="J131:J154" si="26">+I541-H541</f>
        <v>0</v>
      </c>
      <c r="K131" s="476"/>
      <c r="L131" s="485"/>
      <c r="M131" s="476">
        <f t="shared" ref="M131:M154" si="27">IF(L541&lt;&gt;0,+H541-L541,0)</f>
        <v>0</v>
      </c>
      <c r="N131" s="485"/>
      <c r="O131" s="476">
        <f t="shared" ref="O131:O154" si="28">IF(N541&lt;&gt;0,+I541-N541,0)</f>
        <v>0</v>
      </c>
      <c r="P131" s="476">
        <f t="shared" ref="P131:P154" si="29">+O541-M541</f>
        <v>0</v>
      </c>
    </row>
    <row r="132" spans="2:16" ht="12.5">
      <c r="B132" s="160" t="str">
        <f t="shared" si="17"/>
        <v/>
      </c>
      <c r="C132" s="470">
        <f>IF(D93="","-",+C131+1)</f>
        <v>2052</v>
      </c>
      <c r="D132" s="345">
        <f>IF(F131+SUM(E$99:E131)=D$92,F131,D$92-SUM(E$99:E131))</f>
        <v>1332579.8700000001</v>
      </c>
      <c r="E132" s="482">
        <f t="shared" si="20"/>
        <v>214402</v>
      </c>
      <c r="F132" s="483">
        <f t="shared" si="21"/>
        <v>1118177.8700000001</v>
      </c>
      <c r="G132" s="483">
        <f t="shared" si="22"/>
        <v>1225378.8700000001</v>
      </c>
      <c r="H132" s="484">
        <f t="shared" si="23"/>
        <v>354373.41719652677</v>
      </c>
      <c r="I132" s="540">
        <f t="shared" si="24"/>
        <v>354373.41719652677</v>
      </c>
      <c r="J132" s="476">
        <f t="shared" si="26"/>
        <v>0</v>
      </c>
      <c r="K132" s="476"/>
      <c r="L132" s="485"/>
      <c r="M132" s="476">
        <f t="shared" si="27"/>
        <v>0</v>
      </c>
      <c r="N132" s="485"/>
      <c r="O132" s="476">
        <f t="shared" si="28"/>
        <v>0</v>
      </c>
      <c r="P132" s="476">
        <f t="shared" si="29"/>
        <v>0</v>
      </c>
    </row>
    <row r="133" spans="2:16" ht="12.5">
      <c r="B133" s="160" t="str">
        <f t="shared" si="17"/>
        <v/>
      </c>
      <c r="C133" s="470">
        <f>IF(D93="","-",+C132+1)</f>
        <v>2053</v>
      </c>
      <c r="D133" s="345">
        <f>IF(F132+SUM(E$99:E132)=D$92,F132,D$92-SUM(E$99:E132))</f>
        <v>1118177.8700000001</v>
      </c>
      <c r="E133" s="482">
        <f t="shared" si="20"/>
        <v>214402</v>
      </c>
      <c r="F133" s="483">
        <f t="shared" si="21"/>
        <v>903775.87000000011</v>
      </c>
      <c r="G133" s="483">
        <f t="shared" si="22"/>
        <v>1010976.8700000001</v>
      </c>
      <c r="H133" s="484">
        <f t="shared" si="23"/>
        <v>329882.90856733057</v>
      </c>
      <c r="I133" s="540">
        <f t="shared" si="24"/>
        <v>329882.90856733057</v>
      </c>
      <c r="J133" s="476">
        <f t="shared" si="26"/>
        <v>0</v>
      </c>
      <c r="K133" s="476"/>
      <c r="L133" s="485"/>
      <c r="M133" s="476">
        <f t="shared" si="27"/>
        <v>0</v>
      </c>
      <c r="N133" s="485"/>
      <c r="O133" s="476">
        <f t="shared" si="28"/>
        <v>0</v>
      </c>
      <c r="P133" s="476">
        <f t="shared" si="29"/>
        <v>0</v>
      </c>
    </row>
    <row r="134" spans="2:16" ht="12.5">
      <c r="B134" s="160" t="str">
        <f t="shared" si="17"/>
        <v/>
      </c>
      <c r="C134" s="470">
        <f>IF(D93="","-",+C133+1)</f>
        <v>2054</v>
      </c>
      <c r="D134" s="345">
        <f>IF(F133+SUM(E$99:E133)=D$92,F133,D$92-SUM(E$99:E133))</f>
        <v>903775.87000000011</v>
      </c>
      <c r="E134" s="482">
        <f t="shared" si="20"/>
        <v>214402</v>
      </c>
      <c r="F134" s="483">
        <f t="shared" si="21"/>
        <v>689373.87000000011</v>
      </c>
      <c r="G134" s="483">
        <f t="shared" si="22"/>
        <v>796574.87000000011</v>
      </c>
      <c r="H134" s="484">
        <f t="shared" si="23"/>
        <v>305392.3999381343</v>
      </c>
      <c r="I134" s="540">
        <f t="shared" si="24"/>
        <v>305392.3999381343</v>
      </c>
      <c r="J134" s="476">
        <f t="shared" si="26"/>
        <v>0</v>
      </c>
      <c r="K134" s="476"/>
      <c r="L134" s="485"/>
      <c r="M134" s="476">
        <f t="shared" si="27"/>
        <v>0</v>
      </c>
      <c r="N134" s="485"/>
      <c r="O134" s="476">
        <f t="shared" si="28"/>
        <v>0</v>
      </c>
      <c r="P134" s="476">
        <f t="shared" si="29"/>
        <v>0</v>
      </c>
    </row>
    <row r="135" spans="2:16" ht="12.5">
      <c r="B135" s="160" t="str">
        <f t="shared" si="17"/>
        <v/>
      </c>
      <c r="C135" s="470">
        <f>IF(D93="","-",+C134+1)</f>
        <v>2055</v>
      </c>
      <c r="D135" s="345">
        <f>IF(F134+SUM(E$99:E134)=D$92,F134,D$92-SUM(E$99:E134))</f>
        <v>689373.87000000011</v>
      </c>
      <c r="E135" s="482">
        <f t="shared" si="20"/>
        <v>214402</v>
      </c>
      <c r="F135" s="483">
        <f t="shared" si="21"/>
        <v>474971.87000000011</v>
      </c>
      <c r="G135" s="483">
        <f t="shared" si="22"/>
        <v>582172.87000000011</v>
      </c>
      <c r="H135" s="484">
        <f t="shared" si="23"/>
        <v>280901.89130893809</v>
      </c>
      <c r="I135" s="540">
        <f t="shared" si="24"/>
        <v>280901.89130893809</v>
      </c>
      <c r="J135" s="476">
        <f t="shared" si="26"/>
        <v>0</v>
      </c>
      <c r="K135" s="476"/>
      <c r="L135" s="485"/>
      <c r="M135" s="476">
        <f t="shared" si="27"/>
        <v>0</v>
      </c>
      <c r="N135" s="485"/>
      <c r="O135" s="476">
        <f t="shared" si="28"/>
        <v>0</v>
      </c>
      <c r="P135" s="476">
        <f t="shared" si="29"/>
        <v>0</v>
      </c>
    </row>
    <row r="136" spans="2:16" ht="12.5">
      <c r="B136" s="160" t="str">
        <f t="shared" si="17"/>
        <v/>
      </c>
      <c r="C136" s="470">
        <f>IF(D93="","-",+C135+1)</f>
        <v>2056</v>
      </c>
      <c r="D136" s="345">
        <f>IF(F135+SUM(E$99:E135)=D$92,F135,D$92-SUM(E$99:E135))</f>
        <v>474971.87000000011</v>
      </c>
      <c r="E136" s="482">
        <f t="shared" si="20"/>
        <v>214402</v>
      </c>
      <c r="F136" s="483">
        <f t="shared" si="21"/>
        <v>260569.87000000011</v>
      </c>
      <c r="G136" s="483">
        <f t="shared" si="22"/>
        <v>367770.87000000011</v>
      </c>
      <c r="H136" s="484">
        <f t="shared" si="23"/>
        <v>256411.38267974183</v>
      </c>
      <c r="I136" s="540">
        <f t="shared" si="24"/>
        <v>256411.38267974183</v>
      </c>
      <c r="J136" s="476">
        <f t="shared" si="26"/>
        <v>0</v>
      </c>
      <c r="K136" s="476"/>
      <c r="L136" s="485"/>
      <c r="M136" s="476">
        <f t="shared" si="27"/>
        <v>0</v>
      </c>
      <c r="N136" s="485"/>
      <c r="O136" s="476">
        <f t="shared" si="28"/>
        <v>0</v>
      </c>
      <c r="P136" s="476">
        <f t="shared" si="29"/>
        <v>0</v>
      </c>
    </row>
    <row r="137" spans="2:16" ht="12.5">
      <c r="B137" s="160" t="str">
        <f t="shared" si="17"/>
        <v/>
      </c>
      <c r="C137" s="470">
        <f>IF(D93="","-",+C136+1)</f>
        <v>2057</v>
      </c>
      <c r="D137" s="345">
        <f>IF(F136+SUM(E$99:E136)=D$92,F136,D$92-SUM(E$99:E136))</f>
        <v>260569.87000000011</v>
      </c>
      <c r="E137" s="482">
        <f t="shared" si="20"/>
        <v>214402</v>
      </c>
      <c r="F137" s="483">
        <f t="shared" si="21"/>
        <v>46167.870000000112</v>
      </c>
      <c r="G137" s="483">
        <f t="shared" si="22"/>
        <v>153368.87000000011</v>
      </c>
      <c r="H137" s="484">
        <f t="shared" si="23"/>
        <v>231920.87405054559</v>
      </c>
      <c r="I137" s="540">
        <f t="shared" si="24"/>
        <v>231920.87405054559</v>
      </c>
      <c r="J137" s="476">
        <f t="shared" si="26"/>
        <v>0</v>
      </c>
      <c r="K137" s="476"/>
      <c r="L137" s="485"/>
      <c r="M137" s="476">
        <f t="shared" si="27"/>
        <v>0</v>
      </c>
      <c r="N137" s="485"/>
      <c r="O137" s="476">
        <f t="shared" si="28"/>
        <v>0</v>
      </c>
      <c r="P137" s="476">
        <f t="shared" si="29"/>
        <v>0</v>
      </c>
    </row>
    <row r="138" spans="2:16" ht="12.5">
      <c r="B138" s="160" t="str">
        <f t="shared" si="17"/>
        <v/>
      </c>
      <c r="C138" s="470">
        <f>IF(D93="","-",+C137+1)</f>
        <v>2058</v>
      </c>
      <c r="D138" s="345">
        <f>IF(F137+SUM(E$99:E137)=D$92,F137,D$92-SUM(E$99:E137))</f>
        <v>46167.870000000112</v>
      </c>
      <c r="E138" s="482">
        <f t="shared" si="20"/>
        <v>46167.870000000112</v>
      </c>
      <c r="F138" s="483">
        <f t="shared" si="21"/>
        <v>0</v>
      </c>
      <c r="G138" s="483">
        <f t="shared" si="22"/>
        <v>23083.935000000056</v>
      </c>
      <c r="H138" s="484">
        <f t="shared" si="23"/>
        <v>48804.679867973857</v>
      </c>
      <c r="I138" s="540">
        <f t="shared" si="24"/>
        <v>48804.679867973857</v>
      </c>
      <c r="J138" s="476">
        <f t="shared" si="26"/>
        <v>0</v>
      </c>
      <c r="K138" s="476"/>
      <c r="L138" s="485"/>
      <c r="M138" s="476">
        <f t="shared" si="27"/>
        <v>0</v>
      </c>
      <c r="N138" s="485"/>
      <c r="O138" s="476">
        <f t="shared" si="28"/>
        <v>0</v>
      </c>
      <c r="P138" s="476">
        <f t="shared" si="29"/>
        <v>0</v>
      </c>
    </row>
    <row r="139" spans="2:16" ht="12.5">
      <c r="B139" s="160" t="str">
        <f t="shared" si="17"/>
        <v/>
      </c>
      <c r="C139" s="470">
        <f>IF(D93="","-",+C138+1)</f>
        <v>2059</v>
      </c>
      <c r="D139" s="345">
        <f>IF(F138+SUM(E$99:E138)=D$92,F138,D$92-SUM(E$99:E138))</f>
        <v>0</v>
      </c>
      <c r="E139" s="482">
        <f t="shared" si="20"/>
        <v>0</v>
      </c>
      <c r="F139" s="483">
        <f t="shared" si="21"/>
        <v>0</v>
      </c>
      <c r="G139" s="483">
        <f t="shared" si="22"/>
        <v>0</v>
      </c>
      <c r="H139" s="484">
        <f t="shared" si="23"/>
        <v>0</v>
      </c>
      <c r="I139" s="540">
        <f t="shared" si="24"/>
        <v>0</v>
      </c>
      <c r="J139" s="476">
        <f t="shared" si="26"/>
        <v>0</v>
      </c>
      <c r="K139" s="476"/>
      <c r="L139" s="485"/>
      <c r="M139" s="476">
        <f t="shared" si="27"/>
        <v>0</v>
      </c>
      <c r="N139" s="485"/>
      <c r="O139" s="476">
        <f t="shared" si="28"/>
        <v>0</v>
      </c>
      <c r="P139" s="476">
        <f t="shared" si="29"/>
        <v>0</v>
      </c>
    </row>
    <row r="140" spans="2:16" ht="12.5">
      <c r="B140" s="160" t="str">
        <f t="shared" si="17"/>
        <v/>
      </c>
      <c r="C140" s="470">
        <f>IF(D93="","-",+C139+1)</f>
        <v>2060</v>
      </c>
      <c r="D140" s="345">
        <f>IF(F139+SUM(E$99:E139)=D$92,F139,D$92-SUM(E$99:E139))</f>
        <v>0</v>
      </c>
      <c r="E140" s="482">
        <f t="shared" si="20"/>
        <v>0</v>
      </c>
      <c r="F140" s="483">
        <f t="shared" si="21"/>
        <v>0</v>
      </c>
      <c r="G140" s="483">
        <f t="shared" si="22"/>
        <v>0</v>
      </c>
      <c r="H140" s="484">
        <f t="shared" si="23"/>
        <v>0</v>
      </c>
      <c r="I140" s="540">
        <f t="shared" si="24"/>
        <v>0</v>
      </c>
      <c r="J140" s="476">
        <f t="shared" si="26"/>
        <v>0</v>
      </c>
      <c r="K140" s="476"/>
      <c r="L140" s="485"/>
      <c r="M140" s="476">
        <f t="shared" si="27"/>
        <v>0</v>
      </c>
      <c r="N140" s="485"/>
      <c r="O140" s="476">
        <f t="shared" si="28"/>
        <v>0</v>
      </c>
      <c r="P140" s="476">
        <f t="shared" si="29"/>
        <v>0</v>
      </c>
    </row>
    <row r="141" spans="2:16" ht="12.5">
      <c r="B141" s="160" t="str">
        <f t="shared" si="17"/>
        <v/>
      </c>
      <c r="C141" s="470">
        <f>IF(D93="","-",+C140+1)</f>
        <v>2061</v>
      </c>
      <c r="D141" s="345">
        <f>IF(F140+SUM(E$99:E140)=D$92,F140,D$92-SUM(E$99:E140))</f>
        <v>0</v>
      </c>
      <c r="E141" s="482">
        <f t="shared" si="20"/>
        <v>0</v>
      </c>
      <c r="F141" s="483">
        <f t="shared" si="21"/>
        <v>0</v>
      </c>
      <c r="G141" s="483">
        <f t="shared" si="22"/>
        <v>0</v>
      </c>
      <c r="H141" s="484">
        <f t="shared" si="23"/>
        <v>0</v>
      </c>
      <c r="I141" s="540">
        <f t="shared" si="24"/>
        <v>0</v>
      </c>
      <c r="J141" s="476">
        <f t="shared" si="26"/>
        <v>0</v>
      </c>
      <c r="K141" s="476"/>
      <c r="L141" s="485"/>
      <c r="M141" s="476">
        <f t="shared" si="27"/>
        <v>0</v>
      </c>
      <c r="N141" s="485"/>
      <c r="O141" s="476">
        <f t="shared" si="28"/>
        <v>0</v>
      </c>
      <c r="P141" s="476">
        <f t="shared" si="29"/>
        <v>0</v>
      </c>
    </row>
    <row r="142" spans="2:16" ht="12.5">
      <c r="B142" s="160" t="str">
        <f t="shared" si="17"/>
        <v/>
      </c>
      <c r="C142" s="470">
        <f>IF(D93="","-",+C141+1)</f>
        <v>2062</v>
      </c>
      <c r="D142" s="345">
        <f>IF(F141+SUM(E$99:E141)=D$92,F141,D$92-SUM(E$99:E141))</f>
        <v>0</v>
      </c>
      <c r="E142" s="482">
        <f t="shared" si="20"/>
        <v>0</v>
      </c>
      <c r="F142" s="483">
        <f t="shared" si="21"/>
        <v>0</v>
      </c>
      <c r="G142" s="483">
        <f t="shared" si="22"/>
        <v>0</v>
      </c>
      <c r="H142" s="484">
        <f t="shared" si="23"/>
        <v>0</v>
      </c>
      <c r="I142" s="540">
        <f t="shared" si="24"/>
        <v>0</v>
      </c>
      <c r="J142" s="476">
        <f t="shared" si="26"/>
        <v>0</v>
      </c>
      <c r="K142" s="476"/>
      <c r="L142" s="485"/>
      <c r="M142" s="476">
        <f t="shared" si="27"/>
        <v>0</v>
      </c>
      <c r="N142" s="485"/>
      <c r="O142" s="476">
        <f t="shared" si="28"/>
        <v>0</v>
      </c>
      <c r="P142" s="476">
        <f t="shared" si="29"/>
        <v>0</v>
      </c>
    </row>
    <row r="143" spans="2:16" ht="12.5">
      <c r="B143" s="160" t="str">
        <f t="shared" si="17"/>
        <v/>
      </c>
      <c r="C143" s="470">
        <f>IF(D93="","-",+C142+1)</f>
        <v>2063</v>
      </c>
      <c r="D143" s="345">
        <f>IF(F142+SUM(E$99:E142)=D$92,F142,D$92-SUM(E$99:E142))</f>
        <v>0</v>
      </c>
      <c r="E143" s="482">
        <f t="shared" si="20"/>
        <v>0</v>
      </c>
      <c r="F143" s="483">
        <f t="shared" si="21"/>
        <v>0</v>
      </c>
      <c r="G143" s="483">
        <f t="shared" si="22"/>
        <v>0</v>
      </c>
      <c r="H143" s="484">
        <f t="shared" si="23"/>
        <v>0</v>
      </c>
      <c r="I143" s="540">
        <f t="shared" si="24"/>
        <v>0</v>
      </c>
      <c r="J143" s="476">
        <f t="shared" si="26"/>
        <v>0</v>
      </c>
      <c r="K143" s="476"/>
      <c r="L143" s="485"/>
      <c r="M143" s="476">
        <f t="shared" si="27"/>
        <v>0</v>
      </c>
      <c r="N143" s="485"/>
      <c r="O143" s="476">
        <f t="shared" si="28"/>
        <v>0</v>
      </c>
      <c r="P143" s="476">
        <f t="shared" si="29"/>
        <v>0</v>
      </c>
    </row>
    <row r="144" spans="2:16" ht="12.5">
      <c r="B144" s="160" t="str">
        <f t="shared" si="17"/>
        <v/>
      </c>
      <c r="C144" s="470">
        <f>IF(D93="","-",+C143+1)</f>
        <v>2064</v>
      </c>
      <c r="D144" s="345">
        <f>IF(F143+SUM(E$99:E143)=D$92,F143,D$92-SUM(E$99:E143))</f>
        <v>0</v>
      </c>
      <c r="E144" s="482">
        <f t="shared" si="20"/>
        <v>0</v>
      </c>
      <c r="F144" s="483">
        <f t="shared" si="21"/>
        <v>0</v>
      </c>
      <c r="G144" s="483">
        <f t="shared" si="22"/>
        <v>0</v>
      </c>
      <c r="H144" s="484">
        <f t="shared" si="23"/>
        <v>0</v>
      </c>
      <c r="I144" s="540">
        <f t="shared" si="24"/>
        <v>0</v>
      </c>
      <c r="J144" s="476">
        <f t="shared" si="26"/>
        <v>0</v>
      </c>
      <c r="K144" s="476"/>
      <c r="L144" s="485"/>
      <c r="M144" s="476">
        <f t="shared" si="27"/>
        <v>0</v>
      </c>
      <c r="N144" s="485"/>
      <c r="O144" s="476">
        <f t="shared" si="28"/>
        <v>0</v>
      </c>
      <c r="P144" s="476">
        <f t="shared" si="29"/>
        <v>0</v>
      </c>
    </row>
    <row r="145" spans="2:16" ht="12.5">
      <c r="B145" s="160" t="str">
        <f t="shared" si="17"/>
        <v/>
      </c>
      <c r="C145" s="470">
        <f>IF(D93="","-",+C144+1)</f>
        <v>2065</v>
      </c>
      <c r="D145" s="345">
        <f>IF(F144+SUM(E$99:E144)=D$92,F144,D$92-SUM(E$99:E144))</f>
        <v>0</v>
      </c>
      <c r="E145" s="482">
        <f t="shared" si="20"/>
        <v>0</v>
      </c>
      <c r="F145" s="483">
        <f t="shared" si="21"/>
        <v>0</v>
      </c>
      <c r="G145" s="483">
        <f t="shared" si="22"/>
        <v>0</v>
      </c>
      <c r="H145" s="484">
        <f t="shared" si="23"/>
        <v>0</v>
      </c>
      <c r="I145" s="540">
        <f t="shared" si="24"/>
        <v>0</v>
      </c>
      <c r="J145" s="476">
        <f t="shared" si="26"/>
        <v>0</v>
      </c>
      <c r="K145" s="476"/>
      <c r="L145" s="485"/>
      <c r="M145" s="476">
        <f t="shared" si="27"/>
        <v>0</v>
      </c>
      <c r="N145" s="485"/>
      <c r="O145" s="476">
        <f t="shared" si="28"/>
        <v>0</v>
      </c>
      <c r="P145" s="476">
        <f t="shared" si="29"/>
        <v>0</v>
      </c>
    </row>
    <row r="146" spans="2:16" ht="12.5">
      <c r="B146" s="160" t="str">
        <f t="shared" si="17"/>
        <v/>
      </c>
      <c r="C146" s="470">
        <f>IF(D93="","-",+C145+1)</f>
        <v>2066</v>
      </c>
      <c r="D146" s="345">
        <f>IF(F145+SUM(E$99:E145)=D$92,F145,D$92-SUM(E$99:E145))</f>
        <v>0</v>
      </c>
      <c r="E146" s="482">
        <f t="shared" si="20"/>
        <v>0</v>
      </c>
      <c r="F146" s="483">
        <f t="shared" si="21"/>
        <v>0</v>
      </c>
      <c r="G146" s="483">
        <f t="shared" si="22"/>
        <v>0</v>
      </c>
      <c r="H146" s="484">
        <f t="shared" si="23"/>
        <v>0</v>
      </c>
      <c r="I146" s="540">
        <f t="shared" si="24"/>
        <v>0</v>
      </c>
      <c r="J146" s="476">
        <f t="shared" si="26"/>
        <v>0</v>
      </c>
      <c r="K146" s="476"/>
      <c r="L146" s="485"/>
      <c r="M146" s="476">
        <f t="shared" si="27"/>
        <v>0</v>
      </c>
      <c r="N146" s="485"/>
      <c r="O146" s="476">
        <f t="shared" si="28"/>
        <v>0</v>
      </c>
      <c r="P146" s="476">
        <f t="shared" si="29"/>
        <v>0</v>
      </c>
    </row>
    <row r="147" spans="2:16" ht="12.5">
      <c r="B147" s="160" t="str">
        <f t="shared" si="17"/>
        <v/>
      </c>
      <c r="C147" s="470">
        <f>IF(D93="","-",+C146+1)</f>
        <v>2067</v>
      </c>
      <c r="D147" s="345">
        <f>IF(F146+SUM(E$99:E146)=D$92,F146,D$92-SUM(E$99:E146))</f>
        <v>0</v>
      </c>
      <c r="E147" s="482">
        <f t="shared" si="20"/>
        <v>0</v>
      </c>
      <c r="F147" s="483">
        <f t="shared" si="21"/>
        <v>0</v>
      </c>
      <c r="G147" s="483">
        <f t="shared" si="22"/>
        <v>0</v>
      </c>
      <c r="H147" s="484">
        <f t="shared" si="23"/>
        <v>0</v>
      </c>
      <c r="I147" s="540">
        <f t="shared" si="24"/>
        <v>0</v>
      </c>
      <c r="J147" s="476">
        <f t="shared" si="26"/>
        <v>0</v>
      </c>
      <c r="K147" s="476"/>
      <c r="L147" s="485"/>
      <c r="M147" s="476">
        <f t="shared" si="27"/>
        <v>0</v>
      </c>
      <c r="N147" s="485"/>
      <c r="O147" s="476">
        <f t="shared" si="28"/>
        <v>0</v>
      </c>
      <c r="P147" s="476">
        <f t="shared" si="29"/>
        <v>0</v>
      </c>
    </row>
    <row r="148" spans="2:16" ht="12.5">
      <c r="B148" s="160" t="str">
        <f t="shared" si="17"/>
        <v/>
      </c>
      <c r="C148" s="470">
        <f>IF(D93="","-",+C147+1)</f>
        <v>2068</v>
      </c>
      <c r="D148" s="345">
        <f>IF(F147+SUM(E$99:E147)=D$92,F147,D$92-SUM(E$99:E147))</f>
        <v>0</v>
      </c>
      <c r="E148" s="482">
        <f t="shared" si="20"/>
        <v>0</v>
      </c>
      <c r="F148" s="483">
        <f t="shared" si="21"/>
        <v>0</v>
      </c>
      <c r="G148" s="483">
        <f t="shared" si="22"/>
        <v>0</v>
      </c>
      <c r="H148" s="484">
        <f t="shared" si="23"/>
        <v>0</v>
      </c>
      <c r="I148" s="540">
        <f t="shared" si="24"/>
        <v>0</v>
      </c>
      <c r="J148" s="476">
        <f t="shared" si="26"/>
        <v>0</v>
      </c>
      <c r="K148" s="476"/>
      <c r="L148" s="485"/>
      <c r="M148" s="476">
        <f t="shared" si="27"/>
        <v>0</v>
      </c>
      <c r="N148" s="485"/>
      <c r="O148" s="476">
        <f t="shared" si="28"/>
        <v>0</v>
      </c>
      <c r="P148" s="476">
        <f t="shared" si="29"/>
        <v>0</v>
      </c>
    </row>
    <row r="149" spans="2:16" ht="12.5">
      <c r="B149" s="160" t="str">
        <f t="shared" si="17"/>
        <v/>
      </c>
      <c r="C149" s="470">
        <f>IF(D93="","-",+C148+1)</f>
        <v>2069</v>
      </c>
      <c r="D149" s="345">
        <f>IF(F148+SUM(E$99:E148)=D$92,F148,D$92-SUM(E$99:E148))</f>
        <v>0</v>
      </c>
      <c r="E149" s="482">
        <f t="shared" si="20"/>
        <v>0</v>
      </c>
      <c r="F149" s="483">
        <f t="shared" si="21"/>
        <v>0</v>
      </c>
      <c r="G149" s="483">
        <f t="shared" si="22"/>
        <v>0</v>
      </c>
      <c r="H149" s="484">
        <f t="shared" si="23"/>
        <v>0</v>
      </c>
      <c r="I149" s="540">
        <f t="shared" si="24"/>
        <v>0</v>
      </c>
      <c r="J149" s="476">
        <f t="shared" si="26"/>
        <v>0</v>
      </c>
      <c r="K149" s="476"/>
      <c r="L149" s="485"/>
      <c r="M149" s="476">
        <f t="shared" si="27"/>
        <v>0</v>
      </c>
      <c r="N149" s="485"/>
      <c r="O149" s="476">
        <f t="shared" si="28"/>
        <v>0</v>
      </c>
      <c r="P149" s="476">
        <f t="shared" si="29"/>
        <v>0</v>
      </c>
    </row>
    <row r="150" spans="2:16" ht="12.5">
      <c r="B150" s="160" t="str">
        <f t="shared" si="17"/>
        <v/>
      </c>
      <c r="C150" s="470">
        <f>IF(D93="","-",+C149+1)</f>
        <v>2070</v>
      </c>
      <c r="D150" s="345">
        <f>IF(F149+SUM(E$99:E149)=D$92,F149,D$92-SUM(E$99:E149))</f>
        <v>0</v>
      </c>
      <c r="E150" s="482">
        <f t="shared" si="20"/>
        <v>0</v>
      </c>
      <c r="F150" s="483">
        <f t="shared" si="21"/>
        <v>0</v>
      </c>
      <c r="G150" s="483">
        <f t="shared" si="22"/>
        <v>0</v>
      </c>
      <c r="H150" s="484">
        <f t="shared" si="23"/>
        <v>0</v>
      </c>
      <c r="I150" s="540">
        <f t="shared" si="24"/>
        <v>0</v>
      </c>
      <c r="J150" s="476">
        <f t="shared" si="26"/>
        <v>0</v>
      </c>
      <c r="K150" s="476"/>
      <c r="L150" s="485"/>
      <c r="M150" s="476">
        <f t="shared" si="27"/>
        <v>0</v>
      </c>
      <c r="N150" s="485"/>
      <c r="O150" s="476">
        <f t="shared" si="28"/>
        <v>0</v>
      </c>
      <c r="P150" s="476">
        <f t="shared" si="29"/>
        <v>0</v>
      </c>
    </row>
    <row r="151" spans="2:16" ht="12.5">
      <c r="B151" s="160" t="str">
        <f t="shared" si="17"/>
        <v/>
      </c>
      <c r="C151" s="470">
        <f>IF(D93="","-",+C150+1)</f>
        <v>2071</v>
      </c>
      <c r="D151" s="345">
        <f>IF(F150+SUM(E$99:E150)=D$92,F150,D$92-SUM(E$99:E150))</f>
        <v>0</v>
      </c>
      <c r="E151" s="482">
        <f t="shared" si="20"/>
        <v>0</v>
      </c>
      <c r="F151" s="483">
        <f t="shared" si="21"/>
        <v>0</v>
      </c>
      <c r="G151" s="483">
        <f t="shared" si="22"/>
        <v>0</v>
      </c>
      <c r="H151" s="484">
        <f t="shared" si="23"/>
        <v>0</v>
      </c>
      <c r="I151" s="540">
        <f t="shared" si="24"/>
        <v>0</v>
      </c>
      <c r="J151" s="476">
        <f t="shared" si="26"/>
        <v>0</v>
      </c>
      <c r="K151" s="476"/>
      <c r="L151" s="485"/>
      <c r="M151" s="476">
        <f t="shared" si="27"/>
        <v>0</v>
      </c>
      <c r="N151" s="485"/>
      <c r="O151" s="476">
        <f t="shared" si="28"/>
        <v>0</v>
      </c>
      <c r="P151" s="476">
        <f t="shared" si="29"/>
        <v>0</v>
      </c>
    </row>
    <row r="152" spans="2:16" ht="12.5">
      <c r="B152" s="160" t="str">
        <f t="shared" si="17"/>
        <v/>
      </c>
      <c r="C152" s="470">
        <f>IF(D93="","-",+C151+1)</f>
        <v>2072</v>
      </c>
      <c r="D152" s="345">
        <f>IF(F151+SUM(E$99:E151)=D$92,F151,D$92-SUM(E$99:E151))</f>
        <v>0</v>
      </c>
      <c r="E152" s="482">
        <f t="shared" si="20"/>
        <v>0</v>
      </c>
      <c r="F152" s="483">
        <f t="shared" si="21"/>
        <v>0</v>
      </c>
      <c r="G152" s="483">
        <f t="shared" si="22"/>
        <v>0</v>
      </c>
      <c r="H152" s="484">
        <f t="shared" si="23"/>
        <v>0</v>
      </c>
      <c r="I152" s="540">
        <f t="shared" si="24"/>
        <v>0</v>
      </c>
      <c r="J152" s="476">
        <f t="shared" si="26"/>
        <v>0</v>
      </c>
      <c r="K152" s="476"/>
      <c r="L152" s="485"/>
      <c r="M152" s="476">
        <f t="shared" si="27"/>
        <v>0</v>
      </c>
      <c r="N152" s="485"/>
      <c r="O152" s="476">
        <f t="shared" si="28"/>
        <v>0</v>
      </c>
      <c r="P152" s="476">
        <f t="shared" si="29"/>
        <v>0</v>
      </c>
    </row>
    <row r="153" spans="2:16" ht="12.5">
      <c r="B153" s="160" t="str">
        <f t="shared" si="17"/>
        <v/>
      </c>
      <c r="C153" s="470">
        <f>IF(D93="","-",+C152+1)</f>
        <v>2073</v>
      </c>
      <c r="D153" s="345">
        <f>IF(F152+SUM(E$99:E152)=D$92,F152,D$92-SUM(E$99:E152))</f>
        <v>0</v>
      </c>
      <c r="E153" s="482">
        <f t="shared" si="20"/>
        <v>0</v>
      </c>
      <c r="F153" s="483">
        <f t="shared" si="21"/>
        <v>0</v>
      </c>
      <c r="G153" s="483">
        <f t="shared" si="22"/>
        <v>0</v>
      </c>
      <c r="H153" s="484">
        <f t="shared" si="23"/>
        <v>0</v>
      </c>
      <c r="I153" s="540">
        <f t="shared" si="24"/>
        <v>0</v>
      </c>
      <c r="J153" s="476">
        <f t="shared" si="26"/>
        <v>0</v>
      </c>
      <c r="K153" s="476"/>
      <c r="L153" s="485"/>
      <c r="M153" s="476">
        <f t="shared" si="27"/>
        <v>0</v>
      </c>
      <c r="N153" s="485"/>
      <c r="O153" s="476">
        <f t="shared" si="28"/>
        <v>0</v>
      </c>
      <c r="P153" s="476">
        <f t="shared" si="29"/>
        <v>0</v>
      </c>
    </row>
    <row r="154" spans="2:16" ht="13" thickBot="1">
      <c r="B154" s="160" t="str">
        <f t="shared" si="17"/>
        <v/>
      </c>
      <c r="C154" s="487">
        <f>IF(D93="","-",+C153+1)</f>
        <v>2074</v>
      </c>
      <c r="D154" s="541">
        <f>IF(F153+SUM(E$99:E153)=D$92,F153,D$92-SUM(E$99:E153))</f>
        <v>0</v>
      </c>
      <c r="E154" s="489">
        <f t="shared" si="20"/>
        <v>0</v>
      </c>
      <c r="F154" s="488">
        <f t="shared" si="21"/>
        <v>0</v>
      </c>
      <c r="G154" s="488">
        <f t="shared" si="22"/>
        <v>0</v>
      </c>
      <c r="H154" s="610">
        <f t="shared" ref="H154" si="30">+J$94*G154+E154</f>
        <v>0</v>
      </c>
      <c r="I154" s="611">
        <f t="shared" ref="I154" si="31">+J$95*G154+E154</f>
        <v>0</v>
      </c>
      <c r="J154" s="493">
        <f t="shared" si="26"/>
        <v>0</v>
      </c>
      <c r="K154" s="476"/>
      <c r="L154" s="492"/>
      <c r="M154" s="493">
        <f t="shared" si="27"/>
        <v>0</v>
      </c>
      <c r="N154" s="492"/>
      <c r="O154" s="493">
        <f t="shared" si="28"/>
        <v>0</v>
      </c>
      <c r="P154" s="493">
        <f t="shared" si="29"/>
        <v>0</v>
      </c>
    </row>
    <row r="155" spans="2:16" ht="12.5">
      <c r="C155" s="345" t="s">
        <v>77</v>
      </c>
      <c r="D155" s="346"/>
      <c r="E155" s="346">
        <f>SUM(E99:E154)</f>
        <v>8147276.8700000001</v>
      </c>
      <c r="F155" s="346"/>
      <c r="G155" s="346"/>
      <c r="H155" s="346">
        <f>SUM(H99:H154)</f>
        <v>26330155.264072098</v>
      </c>
      <c r="I155" s="346">
        <f>SUM(I99:I154)</f>
        <v>26330155.264072098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>
    <tabColor rgb="FF00B050"/>
  </sheetPr>
  <dimension ref="A1:S137"/>
  <sheetViews>
    <sheetView topLeftCell="E99" zoomScale="70" zoomScaleNormal="70" zoomScaleSheetLayoutView="100" workbookViewId="0">
      <selection activeCell="R132" sqref="R132:R13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0.7265625" style="148" customWidth="1"/>
    <col min="4" max="9" width="17.7265625" style="148" customWidth="1"/>
    <col min="10" max="10" width="17.7265625" style="148" bestFit="1" customWidth="1"/>
    <col min="11" max="11" width="2.1796875" style="148" customWidth="1"/>
    <col min="12" max="15" width="17.7265625" style="148" customWidth="1"/>
    <col min="16" max="16" width="19.54296875" style="148" customWidth="1"/>
    <col min="17" max="17" width="2.1796875" style="148" customWidth="1"/>
    <col min="18" max="18" width="16.453125" style="148" customWidth="1"/>
    <col min="19" max="19" width="52.453125" style="148" customWidth="1"/>
    <col min="20" max="16384" width="8.7265625" style="148"/>
  </cols>
  <sheetData>
    <row r="1" spans="1:19" ht="17.5">
      <c r="A1" s="727" t="str">
        <f>'PSO.WS.F.BPU.ATRR.Projected'!A1</f>
        <v xml:space="preserve">AEP West SPP Member Companies 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Q1" s="194"/>
      <c r="R1" s="194"/>
    </row>
    <row r="2" spans="1:19" ht="17.5">
      <c r="A2" s="727" t="str">
        <f>'PSO.WS.F.BPU.ATRR.Projected'!A2</f>
        <v>2024 Cost of Service Formula Rate Projected on 2023 FF1 Balances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Q2" s="238" t="s">
        <v>125</v>
      </c>
      <c r="R2" s="194"/>
    </row>
    <row r="3" spans="1:19" ht="18">
      <c r="A3" s="730" t="s">
        <v>141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Q3" s="194"/>
      <c r="R3" s="194"/>
    </row>
    <row r="4" spans="1:19" ht="17.5">
      <c r="A4" s="729" t="str">
        <f>"Based on a Carrying Charge Derived from ""Trued-Up"" "&amp;M16&amp;" Data"</f>
        <v>Based on a Carrying Charge Derived from "Trued-Up" 2023 Data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Q4" s="194"/>
      <c r="R4" s="194"/>
    </row>
    <row r="5" spans="1:19" ht="18">
      <c r="A5" s="735" t="str">
        <f>'PSO.WS.F.BPU.ATRR.Projected'!A5</f>
        <v>PUBLIC SERVICE COMPANY OF OKLAHOMA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Q5" s="194"/>
      <c r="R5" s="194"/>
    </row>
    <row r="6" spans="1:19" ht="20">
      <c r="A6" s="372"/>
      <c r="C6" s="302"/>
      <c r="D6" s="160"/>
      <c r="I6" s="216"/>
      <c r="K6" s="194"/>
      <c r="Q6" s="194"/>
      <c r="R6" s="194"/>
    </row>
    <row r="7" spans="1:19" ht="12.5">
      <c r="D7" s="160"/>
      <c r="I7" s="216"/>
      <c r="K7" s="194"/>
      <c r="Q7" s="194"/>
      <c r="R7" s="194"/>
    </row>
    <row r="8" spans="1:19" ht="38.25" customHeight="1">
      <c r="B8" s="242" t="s">
        <v>0</v>
      </c>
      <c r="C8" s="732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733"/>
      <c r="E8" s="733"/>
      <c r="F8" s="733"/>
      <c r="G8" s="733"/>
      <c r="H8" s="733"/>
      <c r="I8" s="733"/>
      <c r="K8" s="194"/>
      <c r="Q8" s="194"/>
      <c r="R8" s="194"/>
    </row>
    <row r="9" spans="1:19" ht="15.75" customHeight="1">
      <c r="C9" s="373"/>
      <c r="D9" s="373"/>
      <c r="E9" s="373"/>
      <c r="F9" s="373"/>
      <c r="G9" s="373"/>
      <c r="H9" s="373"/>
      <c r="I9" s="373"/>
      <c r="K9" s="194"/>
      <c r="Q9" s="194"/>
      <c r="R9" s="194"/>
    </row>
    <row r="10" spans="1:19" ht="15.5">
      <c r="C10" s="243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6"/>
      <c r="K10" s="194"/>
      <c r="Q10" s="194"/>
      <c r="R10" s="194"/>
    </row>
    <row r="11" spans="1:19" ht="12.5">
      <c r="D11" s="160"/>
      <c r="I11" s="216"/>
      <c r="K11" s="194"/>
      <c r="Q11" s="194"/>
      <c r="R11" s="194"/>
    </row>
    <row r="12" spans="1:19" ht="12.5">
      <c r="C12" s="246" t="str">
        <f>S105</f>
        <v xml:space="preserve">   ROE w/o incentives  (TCOS, ln 143)</v>
      </c>
      <c r="D12" s="160"/>
      <c r="E12" s="247"/>
      <c r="F12" s="248">
        <f>+R105</f>
        <v>0.105</v>
      </c>
      <c r="G12" s="248"/>
      <c r="H12" s="249"/>
      <c r="I12" s="250"/>
      <c r="J12" s="251"/>
      <c r="K12" s="252"/>
      <c r="L12" s="251"/>
      <c r="M12" s="251"/>
      <c r="N12" s="251"/>
      <c r="O12" s="251"/>
      <c r="P12" s="251"/>
      <c r="Q12" s="252"/>
      <c r="R12" s="241"/>
      <c r="S12" s="231"/>
    </row>
    <row r="13" spans="1:19" ht="13" thickBot="1">
      <c r="C13" s="246" t="s">
        <v>1</v>
      </c>
      <c r="D13" s="160"/>
      <c r="E13" s="247"/>
      <c r="F13" s="374">
        <f>R106</f>
        <v>0</v>
      </c>
      <c r="G13" s="375" t="s">
        <v>152</v>
      </c>
      <c r="L13" s="251"/>
      <c r="M13" s="251"/>
      <c r="N13" s="251"/>
      <c r="O13" s="251"/>
      <c r="P13" s="251"/>
      <c r="Q13" s="252"/>
      <c r="R13" s="241"/>
      <c r="S13" s="231"/>
    </row>
    <row r="14" spans="1:19" ht="13">
      <c r="C14" s="246" t="str">
        <f>"   ROE with additional "&amp;F13&amp;" basis point incentive"</f>
        <v xml:space="preserve">   ROE with additional 0 basis point incentive</v>
      </c>
      <c r="D14" s="247"/>
      <c r="E14" s="247"/>
      <c r="F14" s="254">
        <f>IF((F12+(F13/10000)&gt;0.1245),"ERROR",F12+(F13/10000))</f>
        <v>0.105</v>
      </c>
      <c r="G14" s="255" t="s">
        <v>2</v>
      </c>
      <c r="I14" s="251"/>
      <c r="J14" s="251"/>
      <c r="K14" s="252"/>
      <c r="L14" s="376" t="s">
        <v>89</v>
      </c>
      <c r="M14" s="377"/>
      <c r="N14" s="377"/>
      <c r="O14" s="377"/>
      <c r="P14" s="378"/>
      <c r="Q14" s="252"/>
      <c r="R14" s="241"/>
      <c r="S14" s="231"/>
    </row>
    <row r="15" spans="1:19" ht="12.5">
      <c r="C15" s="246" t="s">
        <v>232</v>
      </c>
      <c r="D15" s="160"/>
      <c r="E15" s="247"/>
      <c r="F15" s="254"/>
      <c r="G15" s="254"/>
      <c r="H15" s="247"/>
      <c r="I15" s="251"/>
      <c r="J15" s="251"/>
      <c r="K15" s="252"/>
      <c r="L15" s="264"/>
      <c r="M15" s="252"/>
      <c r="N15" s="252" t="s">
        <v>8</v>
      </c>
      <c r="O15" s="252" t="s">
        <v>9</v>
      </c>
      <c r="P15" s="266" t="s">
        <v>10</v>
      </c>
      <c r="Q15" s="252"/>
      <c r="R15" s="241"/>
      <c r="S15" s="231"/>
    </row>
    <row r="16" spans="1:19" ht="12.5">
      <c r="C16" s="252"/>
      <c r="D16" s="256" t="s">
        <v>4</v>
      </c>
      <c r="E16" s="256" t="s">
        <v>5</v>
      </c>
      <c r="F16" s="257" t="s">
        <v>6</v>
      </c>
      <c r="G16" s="257"/>
      <c r="H16" s="247"/>
      <c r="I16" s="251"/>
      <c r="J16" s="251"/>
      <c r="K16" s="252"/>
      <c r="L16" s="264" t="s">
        <v>90</v>
      </c>
      <c r="M16" s="379">
        <f>+R104</f>
        <v>2023</v>
      </c>
      <c r="N16" s="194"/>
      <c r="O16" s="194"/>
      <c r="P16" s="271"/>
      <c r="Q16" s="252"/>
      <c r="R16" s="241"/>
      <c r="S16" s="231"/>
    </row>
    <row r="17" spans="3:19" ht="12.5">
      <c r="C17" s="258" t="s">
        <v>7</v>
      </c>
      <c r="D17" s="259">
        <f>R107</f>
        <v>0.48857636133057952</v>
      </c>
      <c r="E17" s="260">
        <f>R108</f>
        <v>4.3233991583193764E-2</v>
      </c>
      <c r="F17" s="380">
        <f>E17*D17</f>
        <v>2.1123106293513709E-2</v>
      </c>
      <c r="G17" s="380"/>
      <c r="H17" s="247"/>
      <c r="I17" s="251"/>
      <c r="J17" s="262"/>
      <c r="K17" s="263"/>
      <c r="L17" s="270"/>
      <c r="M17" s="381" t="s">
        <v>219</v>
      </c>
      <c r="N17" s="382">
        <f>SUM('P.001:P.xyz - blank'!M87)</f>
        <v>8837545.4268044475</v>
      </c>
      <c r="O17" s="382">
        <f>SUM('P.001:P.xyz - blank'!N87)</f>
        <v>8837545.4268044475</v>
      </c>
      <c r="P17" s="383">
        <f>+O17-N17</f>
        <v>0</v>
      </c>
      <c r="Q17" s="263"/>
      <c r="R17" s="241"/>
      <c r="S17" s="231"/>
    </row>
    <row r="18" spans="3:19" ht="13" thickBot="1">
      <c r="C18" s="258" t="s">
        <v>11</v>
      </c>
      <c r="D18" s="259">
        <f>R109</f>
        <v>0</v>
      </c>
      <c r="E18" s="260">
        <f>R110</f>
        <v>0</v>
      </c>
      <c r="F18" s="380">
        <f>E18*D18</f>
        <v>0</v>
      </c>
      <c r="G18" s="380"/>
      <c r="H18" s="267"/>
      <c r="I18" s="267"/>
      <c r="J18" s="268"/>
      <c r="K18" s="269"/>
      <c r="L18" s="270"/>
      <c r="M18" s="384" t="s">
        <v>218</v>
      </c>
      <c r="N18" s="385">
        <f>SUM('P.001:P.xyz - blank'!M88)</f>
        <v>8580569.4091968853</v>
      </c>
      <c r="O18" s="385">
        <f>SUM('P.001:P.xyz - blank'!N88)</f>
        <v>8580569.4091968853</v>
      </c>
      <c r="P18" s="277">
        <f>+O18-N18</f>
        <v>0</v>
      </c>
      <c r="Q18" s="269"/>
      <c r="R18" s="241"/>
      <c r="S18" s="231"/>
    </row>
    <row r="19" spans="3:19" ht="12.5">
      <c r="C19" s="272" t="s">
        <v>12</v>
      </c>
      <c r="D19" s="259">
        <f>R111</f>
        <v>0.51142363866942053</v>
      </c>
      <c r="E19" s="260">
        <f>+F14</f>
        <v>0.105</v>
      </c>
      <c r="F19" s="386">
        <f>E19*D19</f>
        <v>5.3699482060289155E-2</v>
      </c>
      <c r="G19" s="386"/>
      <c r="H19" s="267"/>
      <c r="I19" s="267"/>
      <c r="J19" s="254"/>
      <c r="K19" s="269"/>
      <c r="L19" s="270"/>
      <c r="M19" s="387" t="str">
        <f>"True-up Adjustment For "&amp;M16&amp;""</f>
        <v>True-up Adjustment For 2023</v>
      </c>
      <c r="N19" s="388">
        <f>+N18-N17</f>
        <v>-256976.01760756224</v>
      </c>
      <c r="O19" s="388">
        <f>+O18-O17</f>
        <v>-256976.01760756224</v>
      </c>
      <c r="P19" s="389">
        <f>+P18-P17</f>
        <v>0</v>
      </c>
      <c r="Q19" s="269"/>
      <c r="R19" s="241"/>
      <c r="S19" s="231"/>
    </row>
    <row r="20" spans="3:19" ht="12.5">
      <c r="C20" s="246"/>
      <c r="D20" s="247"/>
      <c r="E20" s="278" t="s">
        <v>14</v>
      </c>
      <c r="F20" s="380">
        <f>SUM(F17:F19)</f>
        <v>7.4822588353802871E-2</v>
      </c>
      <c r="G20" s="380"/>
      <c r="H20" s="390"/>
      <c r="I20" s="267"/>
      <c r="J20" s="268"/>
      <c r="K20" s="269"/>
      <c r="L20" s="270"/>
      <c r="M20" s="194"/>
      <c r="N20" s="279" t="str">
        <f>IF(ROUND(N19,0)=ROUND(SUM('P.001:P.xyz - blank'!M89),0),"","ERROR")</f>
        <v/>
      </c>
      <c r="O20" s="279" t="str">
        <f>IF(ROUND(O19,0)=ROUND(SUM('P.001:P.xyz - blank'!N89),0),"","ERROR")</f>
        <v/>
      </c>
      <c r="P20" s="279" t="str">
        <f>IF(P19=SUM('P.001:P.xyz - blank'!O89),"","ERROR")</f>
        <v/>
      </c>
      <c r="Q20" s="269"/>
      <c r="R20" s="241"/>
      <c r="S20" s="231"/>
    </row>
    <row r="21" spans="3:19" ht="13" thickBot="1">
      <c r="D21" s="280"/>
      <c r="E21" s="280"/>
      <c r="F21" s="267"/>
      <c r="G21" s="267"/>
      <c r="H21" s="267"/>
      <c r="I21" s="267"/>
      <c r="J21" s="267"/>
      <c r="K21" s="281"/>
      <c r="L21" s="391"/>
      <c r="M21" s="392"/>
      <c r="N21" s="393"/>
      <c r="O21" s="393"/>
      <c r="P21" s="277"/>
      <c r="Q21" s="281"/>
      <c r="R21" s="241"/>
      <c r="S21" s="231"/>
    </row>
    <row r="22" spans="3:19" ht="15.5">
      <c r="C22" s="243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0"/>
      <c r="E22" s="280"/>
      <c r="F22" s="282"/>
      <c r="G22" s="282"/>
      <c r="H22" s="267"/>
      <c r="I22" s="247"/>
      <c r="J22" s="267"/>
      <c r="K22" s="281"/>
      <c r="L22" s="267"/>
      <c r="M22" s="267"/>
      <c r="N22" s="267"/>
      <c r="O22" s="267"/>
      <c r="P22" s="267"/>
      <c r="Q22" s="281"/>
      <c r="R22" s="241"/>
      <c r="S22" s="231"/>
    </row>
    <row r="23" spans="3:19" ht="13">
      <c r="C23" s="252"/>
      <c r="D23" s="280"/>
      <c r="E23" s="280"/>
      <c r="F23" s="281"/>
      <c r="G23" s="281"/>
      <c r="H23" s="281"/>
      <c r="I23" s="281"/>
      <c r="J23" s="281"/>
      <c r="K23" s="281"/>
      <c r="L23" s="177" t="s">
        <v>15</v>
      </c>
      <c r="M23" s="281"/>
      <c r="N23" s="281"/>
      <c r="O23" s="281"/>
      <c r="P23" s="281"/>
      <c r="Q23" s="281"/>
      <c r="R23" s="241"/>
      <c r="S23" s="231"/>
    </row>
    <row r="24" spans="3:19" ht="12.5">
      <c r="C24" s="246" t="str">
        <f>S112</f>
        <v xml:space="preserve">   Rate Base  (TCOS, ln 63)</v>
      </c>
      <c r="D24" s="247"/>
      <c r="E24" s="284">
        <f>R112</f>
        <v>641560429.46690011</v>
      </c>
      <c r="F24" s="285"/>
      <c r="G24" s="285"/>
      <c r="H24" s="281"/>
      <c r="I24" s="281"/>
      <c r="J24" s="281"/>
      <c r="K24" s="281"/>
      <c r="L24" s="148" t="s">
        <v>16</v>
      </c>
      <c r="M24" s="281"/>
      <c r="N24" s="281"/>
      <c r="O24" s="281"/>
      <c r="P24" s="285"/>
      <c r="Q24" s="281"/>
      <c r="R24" s="241"/>
      <c r="S24" s="231"/>
    </row>
    <row r="25" spans="3:19" ht="12.5">
      <c r="C25" s="252" t="s">
        <v>17</v>
      </c>
      <c r="D25" s="249"/>
      <c r="E25" s="286">
        <f>F20</f>
        <v>7.4822588353802871E-2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41"/>
      <c r="S25" s="231"/>
    </row>
    <row r="26" spans="3:19" ht="12.5">
      <c r="C26" s="287" t="s">
        <v>18</v>
      </c>
      <c r="D26" s="287"/>
      <c r="E26" s="268">
        <f>E24*E25</f>
        <v>48003211.91809085</v>
      </c>
      <c r="F26" s="281"/>
      <c r="G26" s="281"/>
      <c r="H26" s="281"/>
      <c r="I26" s="281"/>
      <c r="J26" s="269"/>
      <c r="K26" s="269"/>
      <c r="L26" s="269"/>
      <c r="M26" s="269"/>
      <c r="N26" s="269"/>
      <c r="O26" s="269"/>
      <c r="P26" s="281"/>
      <c r="Q26" s="269"/>
      <c r="R26" s="241"/>
      <c r="S26" s="231"/>
    </row>
    <row r="27" spans="3:19" ht="12.5">
      <c r="C27" s="288"/>
      <c r="D27" s="251"/>
      <c r="E27" s="251"/>
      <c r="F27" s="281"/>
      <c r="G27" s="281"/>
      <c r="H27" s="281"/>
      <c r="I27" s="281"/>
      <c r="J27" s="269"/>
      <c r="K27" s="269"/>
      <c r="L27" s="269"/>
      <c r="M27" s="269"/>
      <c r="N27" s="269"/>
      <c r="O27" s="269"/>
      <c r="P27" s="281"/>
      <c r="Q27" s="269"/>
      <c r="R27" s="241"/>
      <c r="S27" s="231"/>
    </row>
    <row r="28" spans="3:19" ht="15.5">
      <c r="C28" s="243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89"/>
      <c r="E28" s="289"/>
      <c r="F28" s="290"/>
      <c r="G28" s="290"/>
      <c r="H28" s="290"/>
      <c r="I28" s="290"/>
      <c r="J28" s="291"/>
      <c r="K28" s="291"/>
      <c r="L28" s="291"/>
      <c r="M28" s="291"/>
      <c r="N28" s="291"/>
      <c r="O28" s="291"/>
      <c r="P28" s="290"/>
      <c r="Q28" s="291"/>
      <c r="R28" s="241"/>
      <c r="S28" s="231"/>
    </row>
    <row r="29" spans="3:19" ht="12.5">
      <c r="C29" s="246"/>
      <c r="D29" s="251"/>
      <c r="E29" s="251"/>
      <c r="F29" s="281"/>
      <c r="G29" s="281"/>
      <c r="H29" s="281"/>
      <c r="I29" s="281"/>
      <c r="J29" s="269"/>
      <c r="K29" s="269"/>
      <c r="L29" s="269"/>
      <c r="M29" s="269"/>
      <c r="N29" s="269"/>
      <c r="O29" s="269"/>
      <c r="P29" s="281"/>
      <c r="Q29" s="269"/>
      <c r="R29" s="241"/>
      <c r="S29" s="231"/>
    </row>
    <row r="30" spans="3:19" ht="12.5">
      <c r="C30" s="252" t="s">
        <v>19</v>
      </c>
      <c r="D30" s="278"/>
      <c r="E30" s="292">
        <f>E26</f>
        <v>48003211.91809085</v>
      </c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41"/>
      <c r="S30" s="231"/>
    </row>
    <row r="31" spans="3:19" ht="12.5">
      <c r="C31" s="246" t="str">
        <f>S113</f>
        <v xml:space="preserve">   Tax Rate  (TCOS, ln 99)</v>
      </c>
      <c r="D31" s="278"/>
      <c r="E31" s="293">
        <f>R113</f>
        <v>0.24025699999999994</v>
      </c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41"/>
      <c r="S31" s="231"/>
    </row>
    <row r="32" spans="3:19" ht="12.5">
      <c r="C32" s="252" t="s">
        <v>20</v>
      </c>
      <c r="D32" s="239"/>
      <c r="E32" s="254">
        <f>IF(F17&gt;0,($E31/(1-$E31))*(1-$F17/$F20),0)</f>
        <v>0.22695863545311165</v>
      </c>
      <c r="F32" s="231"/>
      <c r="G32" s="231"/>
      <c r="H32" s="231"/>
      <c r="I32" s="240"/>
      <c r="J32" s="231"/>
      <c r="K32" s="241"/>
      <c r="L32" s="231"/>
      <c r="M32" s="231"/>
      <c r="N32" s="231"/>
      <c r="O32" s="231"/>
      <c r="P32" s="231"/>
      <c r="Q32" s="241"/>
      <c r="R32" s="241"/>
      <c r="S32" s="337"/>
    </row>
    <row r="33" spans="2:19" ht="12.5">
      <c r="C33" s="288" t="s">
        <v>21</v>
      </c>
      <c r="D33" s="239"/>
      <c r="E33" s="295">
        <f>E30*E32</f>
        <v>10894743.474296445</v>
      </c>
      <c r="F33" s="231"/>
      <c r="G33" s="231"/>
      <c r="H33" s="231"/>
      <c r="I33" s="240"/>
      <c r="J33" s="231"/>
      <c r="K33" s="241"/>
      <c r="L33" s="231"/>
      <c r="M33" s="231"/>
      <c r="N33" s="231"/>
      <c r="O33" s="231"/>
      <c r="P33" s="231"/>
      <c r="Q33" s="241"/>
      <c r="R33" s="241"/>
      <c r="S33" s="231"/>
    </row>
    <row r="34" spans="2:19" ht="15.5">
      <c r="C34" s="246" t="str">
        <f>+S114</f>
        <v xml:space="preserve">   ITC Adjustment  (TCOS, ln 108)</v>
      </c>
      <c r="D34" s="296"/>
      <c r="E34" s="297">
        <f>R114</f>
        <v>-170245.84433530955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8"/>
      <c r="Q34" s="296"/>
      <c r="R34" s="241"/>
      <c r="S34" s="231"/>
    </row>
    <row r="35" spans="2:19" ht="15.5">
      <c r="C35" s="304" t="str">
        <f>+S115</f>
        <v xml:space="preserve">   Excess DFIT Adjustment  (TCOS, ln 109)</v>
      </c>
      <c r="D35" s="296"/>
      <c r="E35" s="297">
        <f>R115</f>
        <v>-1250129.5522220435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8"/>
      <c r="Q35" s="296"/>
      <c r="R35" s="241"/>
      <c r="S35" s="231"/>
    </row>
    <row r="36" spans="2:19" ht="15.5">
      <c r="C36" s="304" t="str">
        <f>+S116</f>
        <v xml:space="preserve">   Tax Effect of Permanent and Flow Through Differences (TCOS, ln 110)</v>
      </c>
      <c r="D36" s="296"/>
      <c r="E36" s="297">
        <f>R116</f>
        <v>95483.523953146097</v>
      </c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8"/>
      <c r="Q36" s="296"/>
      <c r="R36" s="241"/>
      <c r="S36" s="231"/>
    </row>
    <row r="37" spans="2:19" ht="15.5">
      <c r="C37" s="288" t="s">
        <v>22</v>
      </c>
      <c r="D37" s="296"/>
      <c r="E37" s="297">
        <f>E33+E34+E35+E36</f>
        <v>9569851.601692237</v>
      </c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9"/>
      <c r="Q37" s="296"/>
      <c r="R37" s="241"/>
      <c r="S37" s="231"/>
    </row>
    <row r="38" spans="2:19" ht="12.75" customHeight="1">
      <c r="C38" s="300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9"/>
      <c r="Q38" s="296"/>
      <c r="R38" s="241"/>
      <c r="S38" s="231"/>
    </row>
    <row r="39" spans="2:19" ht="18">
      <c r="B39" s="301" t="s">
        <v>23</v>
      </c>
      <c r="C39" s="302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9"/>
      <c r="Q39" s="296"/>
      <c r="R39" s="241"/>
      <c r="S39" s="231"/>
    </row>
    <row r="40" spans="2:19" ht="18.75" customHeight="1">
      <c r="B40" s="301"/>
      <c r="C40" s="302" t="str">
        <f>"ROE increase."</f>
        <v>ROE increase.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9"/>
      <c r="Q40" s="296"/>
      <c r="R40" s="241"/>
      <c r="S40" s="231"/>
    </row>
    <row r="41" spans="2:19" ht="12.75" customHeight="1">
      <c r="C41" s="300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9"/>
      <c r="Q41" s="296"/>
      <c r="R41" s="241"/>
      <c r="S41" s="231"/>
    </row>
    <row r="42" spans="2:19" ht="15.5">
      <c r="C42" s="243" t="s">
        <v>24</v>
      </c>
      <c r="D42" s="296"/>
      <c r="E42" s="296"/>
      <c r="F42" s="303"/>
      <c r="G42" s="303"/>
      <c r="H42" s="296"/>
      <c r="I42" s="296"/>
      <c r="J42" s="296"/>
      <c r="K42" s="296"/>
      <c r="L42" s="296"/>
      <c r="M42" s="296"/>
      <c r="N42" s="296"/>
      <c r="O42" s="296"/>
      <c r="P42" s="299"/>
      <c r="Q42" s="296"/>
      <c r="R42" s="241"/>
      <c r="S42" s="231"/>
    </row>
    <row r="43" spans="2:19" ht="12.5">
      <c r="B43" s="231"/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297"/>
      <c r="Q43" s="305"/>
      <c r="R43" s="241"/>
      <c r="S43" s="231"/>
    </row>
    <row r="44" spans="2:19" ht="12.75" customHeight="1">
      <c r="B44" s="231"/>
      <c r="C44" s="246" t="str">
        <f>S117</f>
        <v xml:space="preserve">   Net Revenue Requirement  (TCOS, ln 117)</v>
      </c>
      <c r="D44" s="305"/>
      <c r="E44" s="305"/>
      <c r="F44" s="297">
        <f>R117</f>
        <v>110925423.16047649</v>
      </c>
      <c r="G44" s="297"/>
      <c r="H44" s="305"/>
      <c r="I44" s="305"/>
      <c r="J44" s="305"/>
      <c r="K44" s="305"/>
      <c r="L44" s="305"/>
      <c r="M44" s="305"/>
      <c r="N44" s="305"/>
      <c r="O44" s="305"/>
      <c r="P44" s="297"/>
      <c r="Q44" s="305"/>
      <c r="R44" s="241"/>
      <c r="S44" s="231"/>
    </row>
    <row r="45" spans="2:19" ht="12.5">
      <c r="B45" s="231"/>
      <c r="C45" s="246" t="str">
        <f>S118</f>
        <v xml:space="preserve">   Return  (TCOS, ln 112)</v>
      </c>
      <c r="D45" s="305"/>
      <c r="E45" s="305"/>
      <c r="F45" s="297">
        <f>R118</f>
        <v>48003211.91809085</v>
      </c>
      <c r="G45" s="306"/>
      <c r="H45" s="307"/>
      <c r="I45" s="307"/>
      <c r="J45" s="307"/>
      <c r="K45" s="307"/>
      <c r="L45" s="307"/>
      <c r="M45" s="307"/>
      <c r="N45" s="307"/>
      <c r="O45" s="307"/>
      <c r="P45" s="297"/>
      <c r="Q45" s="307"/>
      <c r="R45" s="241"/>
      <c r="S45" s="231"/>
    </row>
    <row r="46" spans="2:19" ht="12.5">
      <c r="B46" s="231"/>
      <c r="C46" s="246" t="str">
        <f>S119</f>
        <v xml:space="preserve">   Income Taxes  (TCOS, ln 111)</v>
      </c>
      <c r="D46" s="305"/>
      <c r="E46" s="305"/>
      <c r="F46" s="297">
        <f>R119</f>
        <v>9569851.601692237</v>
      </c>
      <c r="G46" s="297"/>
      <c r="H46" s="305"/>
      <c r="I46" s="305"/>
      <c r="J46" s="308"/>
      <c r="K46" s="308"/>
      <c r="L46" s="308"/>
      <c r="M46" s="308"/>
      <c r="N46" s="308"/>
      <c r="O46" s="308"/>
      <c r="P46" s="305"/>
      <c r="Q46" s="308"/>
      <c r="R46" s="241"/>
      <c r="S46" s="231"/>
    </row>
    <row r="47" spans="2:19" ht="12.5">
      <c r="B47" s="231"/>
      <c r="C47" s="246" t="str">
        <f>S120</f>
        <v xml:space="preserve">  Gross Margin Taxes  (TCOS, ln 116)</v>
      </c>
      <c r="D47" s="305"/>
      <c r="E47" s="305"/>
      <c r="F47" s="309">
        <f>R120</f>
        <v>0</v>
      </c>
      <c r="G47" s="297"/>
      <c r="H47" s="305"/>
      <c r="I47" s="305"/>
      <c r="J47" s="308"/>
      <c r="K47" s="308"/>
      <c r="L47" s="308"/>
      <c r="M47" s="308"/>
      <c r="N47" s="308"/>
      <c r="O47" s="308"/>
      <c r="P47" s="305"/>
      <c r="Q47" s="308"/>
      <c r="R47" s="241"/>
      <c r="S47" s="231"/>
    </row>
    <row r="48" spans="2:19" ht="12.5">
      <c r="B48" s="231"/>
      <c r="C48" s="310" t="s">
        <v>25</v>
      </c>
      <c r="D48" s="305"/>
      <c r="E48" s="305"/>
      <c r="F48" s="306">
        <f>F44-F45-F46-F47</f>
        <v>53352359.640693404</v>
      </c>
      <c r="G48" s="306"/>
      <c r="H48" s="311"/>
      <c r="I48" s="305"/>
      <c r="J48" s="311"/>
      <c r="K48" s="311"/>
      <c r="L48" s="311"/>
      <c r="M48" s="311"/>
      <c r="N48" s="311"/>
      <c r="O48" s="311"/>
      <c r="P48" s="311"/>
      <c r="Q48" s="311"/>
      <c r="R48" s="241"/>
      <c r="S48" s="231"/>
    </row>
    <row r="49" spans="2:19" ht="12.5">
      <c r="B49" s="231"/>
      <c r="C49" s="304"/>
      <c r="D49" s="305"/>
      <c r="E49" s="305"/>
      <c r="F49" s="297"/>
      <c r="G49" s="297"/>
      <c r="H49" s="312"/>
      <c r="I49" s="313"/>
      <c r="J49" s="313"/>
      <c r="K49" s="313"/>
      <c r="L49" s="313"/>
      <c r="M49" s="313"/>
      <c r="N49" s="313"/>
      <c r="O49" s="313"/>
      <c r="P49" s="313"/>
      <c r="Q49" s="313"/>
      <c r="R49" s="241"/>
      <c r="S49" s="231"/>
    </row>
    <row r="50" spans="2:19" ht="15.5">
      <c r="B50" s="231"/>
      <c r="C50" s="243" t="str">
        <f>"B.   Determine Net Revenue Requirement with hypothetical "&amp;F13&amp;" basis point increase in ROE."</f>
        <v>B.   Determine Net Revenue Requirement with hypothetical 0 basis point increase in ROE.</v>
      </c>
      <c r="D50" s="314"/>
      <c r="E50" s="314"/>
      <c r="F50" s="297"/>
      <c r="G50" s="297"/>
      <c r="H50" s="312"/>
      <c r="I50" s="313"/>
      <c r="J50" s="313"/>
      <c r="K50" s="313"/>
      <c r="L50" s="313"/>
      <c r="M50" s="313"/>
      <c r="N50" s="313"/>
      <c r="O50" s="313"/>
      <c r="P50" s="313"/>
      <c r="Q50" s="313"/>
      <c r="R50" s="241"/>
      <c r="S50" s="231"/>
    </row>
    <row r="51" spans="2:19" ht="12.5">
      <c r="B51" s="231"/>
      <c r="C51" s="304"/>
      <c r="D51" s="314"/>
      <c r="E51" s="314"/>
      <c r="F51" s="297"/>
      <c r="G51" s="297"/>
      <c r="H51" s="312"/>
      <c r="I51" s="313"/>
      <c r="J51" s="313"/>
      <c r="K51" s="313"/>
      <c r="L51" s="313"/>
      <c r="M51" s="313"/>
      <c r="N51" s="313"/>
      <c r="O51" s="313"/>
      <c r="P51" s="313"/>
      <c r="Q51" s="313"/>
      <c r="R51" s="241"/>
      <c r="S51" s="231"/>
    </row>
    <row r="52" spans="2:19" ht="13">
      <c r="B52" s="231"/>
      <c r="C52" s="304" t="str">
        <f>C48</f>
        <v xml:space="preserve">   Net Revenue Requirement, Less Return and Taxes</v>
      </c>
      <c r="D52" s="314"/>
      <c r="E52" s="314"/>
      <c r="F52" s="297">
        <f>F48</f>
        <v>53352359.640693404</v>
      </c>
      <c r="G52" s="297"/>
      <c r="H52" s="305"/>
      <c r="I52" s="305"/>
      <c r="J52" s="305"/>
      <c r="K52" s="305"/>
      <c r="L52" s="305"/>
      <c r="M52" s="305"/>
      <c r="N52" s="305"/>
      <c r="O52" s="305"/>
      <c r="P52" s="317"/>
      <c r="Q52" s="305"/>
      <c r="R52" s="241"/>
      <c r="S52" s="231"/>
    </row>
    <row r="53" spans="2:19" ht="13">
      <c r="B53" s="231"/>
      <c r="C53" s="252" t="s">
        <v>103</v>
      </c>
      <c r="D53" s="319"/>
      <c r="E53" s="310"/>
      <c r="F53" s="320">
        <f>E26</f>
        <v>48003211.91809085</v>
      </c>
      <c r="G53" s="320"/>
      <c r="H53" s="310"/>
      <c r="I53" s="321"/>
      <c r="J53" s="310"/>
      <c r="K53" s="310"/>
      <c r="L53" s="310"/>
      <c r="M53" s="310"/>
      <c r="N53" s="310"/>
      <c r="O53" s="310"/>
      <c r="P53" s="310"/>
      <c r="Q53" s="310"/>
      <c r="R53" s="241"/>
      <c r="S53" s="231"/>
    </row>
    <row r="54" spans="2:19" ht="12.75" customHeight="1">
      <c r="B54" s="231"/>
      <c r="C54" s="246" t="s">
        <v>26</v>
      </c>
      <c r="D54" s="305"/>
      <c r="E54" s="305"/>
      <c r="F54" s="394">
        <f>E37</f>
        <v>9569851.601692237</v>
      </c>
      <c r="G54" s="322"/>
      <c r="H54" s="231"/>
      <c r="I54" s="240"/>
      <c r="J54" s="231"/>
      <c r="K54" s="241"/>
      <c r="L54" s="231"/>
      <c r="M54" s="231"/>
      <c r="N54" s="231"/>
      <c r="O54" s="231"/>
      <c r="P54" s="231"/>
      <c r="Q54" s="241"/>
      <c r="R54" s="241"/>
      <c r="S54" s="231"/>
    </row>
    <row r="55" spans="2:19" ht="12.5">
      <c r="B55" s="231"/>
      <c r="C55" s="310" t="str">
        <f>"   Net Revenue Requirement, with "&amp;F13&amp;" Basis Point ROE increase"</f>
        <v xml:space="preserve">   Net Revenue Requirement, with 0 Basis Point ROE increase</v>
      </c>
      <c r="D55" s="239"/>
      <c r="E55" s="231"/>
      <c r="F55" s="295">
        <f>SUM(F52:F54)</f>
        <v>110925423.16047648</v>
      </c>
      <c r="G55" s="295"/>
      <c r="H55" s="231"/>
      <c r="I55" s="240"/>
      <c r="J55" s="231"/>
      <c r="K55" s="241"/>
      <c r="L55" s="231"/>
      <c r="M55" s="231"/>
      <c r="N55" s="231"/>
      <c r="O55" s="231"/>
      <c r="P55" s="231"/>
      <c r="Q55" s="241"/>
      <c r="R55" s="241"/>
      <c r="S55" s="231"/>
    </row>
    <row r="56" spans="2:19" ht="12.5">
      <c r="B56" s="231"/>
      <c r="C56" s="323" t="str">
        <f>"   Gross Margin Tax with "&amp;F13&amp;" Basis Point ROE Increase (II C. below)"</f>
        <v xml:space="preserve">   Gross Margin Tax with 0 Basis Point ROE Increase (II C. below)</v>
      </c>
      <c r="D56" s="324"/>
      <c r="E56" s="324"/>
      <c r="F56" s="325">
        <f>+F71</f>
        <v>0</v>
      </c>
      <c r="G56" s="320"/>
      <c r="H56" s="231"/>
      <c r="I56" s="240"/>
      <c r="J56" s="231"/>
      <c r="K56" s="241"/>
      <c r="L56" s="231"/>
      <c r="M56" s="231"/>
      <c r="N56" s="231"/>
      <c r="O56" s="231"/>
      <c r="P56" s="231"/>
      <c r="Q56" s="241"/>
      <c r="R56" s="241"/>
      <c r="S56" s="231"/>
    </row>
    <row r="57" spans="2:19" ht="12.5">
      <c r="B57" s="231"/>
      <c r="C57" s="310" t="s">
        <v>27</v>
      </c>
      <c r="D57" s="239"/>
      <c r="E57" s="231"/>
      <c r="F57" s="326">
        <f>+F55+F56</f>
        <v>110925423.16047648</v>
      </c>
      <c r="G57" s="326"/>
      <c r="H57" s="231"/>
      <c r="I57" s="240"/>
      <c r="J57" s="231"/>
      <c r="K57" s="241"/>
      <c r="L57" s="231"/>
      <c r="M57" s="231"/>
      <c r="N57" s="231"/>
      <c r="O57" s="231"/>
      <c r="P57" s="231"/>
      <c r="Q57" s="241"/>
      <c r="R57" s="241"/>
      <c r="S57" s="231"/>
    </row>
    <row r="58" spans="2:19" ht="12.5">
      <c r="B58" s="231"/>
      <c r="C58" s="246" t="str">
        <f>S121</f>
        <v xml:space="preserve">   Less: Depreciation  (TCOS, ln 86)</v>
      </c>
      <c r="D58" s="239"/>
      <c r="E58" s="231"/>
      <c r="F58" s="327">
        <f>R121</f>
        <v>25536854.183294665</v>
      </c>
      <c r="G58" s="327"/>
      <c r="H58" s="231"/>
      <c r="I58" s="240"/>
      <c r="J58" s="231"/>
      <c r="K58" s="241"/>
      <c r="L58" s="231"/>
      <c r="M58" s="231"/>
      <c r="N58" s="231"/>
      <c r="O58" s="231"/>
      <c r="P58" s="231"/>
      <c r="Q58" s="241"/>
      <c r="R58" s="241"/>
      <c r="S58" s="231"/>
    </row>
    <row r="59" spans="2:19" ht="12.5">
      <c r="B59" s="231"/>
      <c r="C59" s="310" t="str">
        <f>"   Net Rev. Req, w/"&amp;F13&amp;" Basis Point ROE increase, less Depreciation"</f>
        <v xml:space="preserve">   Net Rev. Req, w/0 Basis Point ROE increase, less Depreciation</v>
      </c>
      <c r="D59" s="239"/>
      <c r="E59" s="231"/>
      <c r="F59" s="295">
        <f>F57-F58</f>
        <v>85388568.977181807</v>
      </c>
      <c r="G59" s="295"/>
      <c r="H59" s="231"/>
      <c r="I59" s="240"/>
      <c r="J59" s="231"/>
      <c r="K59" s="241"/>
      <c r="L59" s="231"/>
      <c r="M59" s="231"/>
      <c r="N59" s="231"/>
      <c r="O59" s="231"/>
      <c r="P59" s="231"/>
      <c r="Q59" s="241"/>
      <c r="R59" s="241"/>
      <c r="S59" s="231"/>
    </row>
    <row r="60" spans="2:19" ht="12.5">
      <c r="B60" s="231"/>
      <c r="C60" s="231"/>
      <c r="D60" s="239"/>
      <c r="E60" s="231"/>
      <c r="F60" s="231"/>
      <c r="G60" s="231"/>
      <c r="H60" s="231"/>
      <c r="I60" s="240"/>
      <c r="J60" s="231"/>
      <c r="K60" s="241"/>
      <c r="L60" s="231"/>
      <c r="M60" s="231"/>
      <c r="N60" s="231"/>
      <c r="O60" s="231"/>
      <c r="P60" s="231"/>
      <c r="Q60" s="241"/>
      <c r="R60" s="241"/>
      <c r="S60" s="231"/>
    </row>
    <row r="61" spans="2:19" ht="15.5">
      <c r="B61" s="231"/>
      <c r="C61" s="329" t="str">
        <f>"C.   Determine Gross Margin Tax with hypothetical "&amp;F13&amp;" basis point increase in ROE."</f>
        <v>C.   Determine Gross Margin Tax with hypothetical 0 basis point increase in ROE.</v>
      </c>
      <c r="D61" s="330"/>
      <c r="E61" s="330"/>
      <c r="F61" s="331"/>
      <c r="G61" s="331"/>
      <c r="H61" s="328"/>
      <c r="I61" s="240"/>
      <c r="J61" s="231"/>
      <c r="K61" s="241"/>
      <c r="L61" s="231"/>
      <c r="M61" s="231"/>
      <c r="N61" s="231"/>
      <c r="O61" s="231"/>
      <c r="P61" s="231"/>
      <c r="Q61" s="241"/>
      <c r="R61" s="241"/>
      <c r="S61" s="231"/>
    </row>
    <row r="62" spans="2:19" ht="12.5">
      <c r="B62" s="231"/>
      <c r="C62" s="323" t="str">
        <f>"   Net Revenue Requirement before Gross Margin Taxes, with "&amp;F13&amp;" "</f>
        <v xml:space="preserve">   Net Revenue Requirement before Gross Margin Taxes, with 0 </v>
      </c>
      <c r="D62" s="330"/>
      <c r="E62" s="330"/>
      <c r="F62" s="331">
        <f>+F55</f>
        <v>110925423.16047648</v>
      </c>
      <c r="G62" s="331"/>
      <c r="H62" s="328"/>
      <c r="I62" s="240"/>
      <c r="J62" s="231"/>
      <c r="K62" s="241"/>
      <c r="L62" s="231"/>
      <c r="M62" s="231"/>
      <c r="N62" s="231"/>
      <c r="O62" s="231"/>
      <c r="P62" s="231"/>
      <c r="Q62" s="241"/>
      <c r="R62" s="241"/>
      <c r="S62" s="231"/>
    </row>
    <row r="63" spans="2:19" ht="12.5">
      <c r="B63" s="231"/>
      <c r="C63" s="323" t="s">
        <v>28</v>
      </c>
      <c r="D63" s="330"/>
      <c r="E63" s="330"/>
      <c r="F63" s="331"/>
      <c r="G63" s="331"/>
      <c r="H63" s="328"/>
      <c r="I63" s="240"/>
      <c r="J63" s="231"/>
      <c r="K63" s="241"/>
      <c r="L63" s="231"/>
      <c r="M63" s="231"/>
      <c r="N63" s="231"/>
      <c r="O63" s="231"/>
      <c r="P63" s="231"/>
      <c r="Q63" s="241"/>
      <c r="R63" s="241"/>
      <c r="S63" s="231"/>
    </row>
    <row r="64" spans="2:19" ht="12.5">
      <c r="B64" s="231"/>
      <c r="C64" s="310" t="str">
        <f>S122</f>
        <v xml:space="preserve">       Apportionment Factor to Texas (Worksheet K, ln 12)</v>
      </c>
      <c r="D64" s="294"/>
      <c r="E64" s="328"/>
      <c r="F64" s="333">
        <f>R122</f>
        <v>0</v>
      </c>
      <c r="G64" s="395"/>
      <c r="H64" s="328"/>
      <c r="I64" s="240"/>
      <c r="J64" s="231"/>
      <c r="K64" s="241"/>
      <c r="L64" s="231"/>
      <c r="M64" s="231"/>
      <c r="N64" s="231"/>
      <c r="O64" s="231"/>
      <c r="P64" s="231"/>
      <c r="Q64" s="241"/>
      <c r="R64" s="241"/>
      <c r="S64" s="231"/>
    </row>
    <row r="65" spans="2:19" ht="12.5">
      <c r="B65" s="231"/>
      <c r="C65" s="310" t="s">
        <v>29</v>
      </c>
      <c r="D65" s="294"/>
      <c r="E65" s="328"/>
      <c r="F65" s="331">
        <f>+F64*F62</f>
        <v>0</v>
      </c>
      <c r="G65" s="331"/>
      <c r="H65" s="328"/>
      <c r="I65" s="240"/>
      <c r="J65" s="231"/>
      <c r="K65" s="241"/>
      <c r="L65" s="231"/>
      <c r="M65" s="231"/>
      <c r="N65" s="231"/>
      <c r="O65" s="231"/>
      <c r="P65" s="231"/>
      <c r="Q65" s="241"/>
      <c r="R65" s="241"/>
      <c r="S65" s="231"/>
    </row>
    <row r="66" spans="2:19" ht="12.5">
      <c r="B66" s="231"/>
      <c r="C66" s="310" t="str">
        <f>+'PSO.WS.F.BPU.ATRR.Projected'!C66</f>
        <v xml:space="preserve">       Taxable Percentage of Revenue (22%)</v>
      </c>
      <c r="D66" s="294"/>
      <c r="E66" s="328"/>
      <c r="F66" s="334">
        <f>+'PSO.WS.F.BPU.ATRR.Projected'!F66</f>
        <v>0.22</v>
      </c>
      <c r="G66" s="396"/>
      <c r="H66" s="328"/>
      <c r="I66" s="240"/>
      <c r="J66" s="231"/>
      <c r="K66" s="241"/>
      <c r="L66" s="231"/>
      <c r="M66" s="231"/>
      <c r="N66" s="231"/>
      <c r="O66" s="231"/>
      <c r="P66" s="231"/>
      <c r="Q66" s="241"/>
      <c r="R66" s="241"/>
      <c r="S66" s="231"/>
    </row>
    <row r="67" spans="2:19" ht="12.5">
      <c r="B67" s="231"/>
      <c r="C67" s="310" t="s">
        <v>30</v>
      </c>
      <c r="D67" s="294"/>
      <c r="E67" s="328"/>
      <c r="F67" s="331">
        <f>+F65*F66</f>
        <v>0</v>
      </c>
      <c r="G67" s="331"/>
      <c r="H67" s="328"/>
      <c r="I67" s="240"/>
      <c r="J67" s="231"/>
      <c r="K67" s="241"/>
      <c r="L67" s="231"/>
      <c r="M67" s="231"/>
      <c r="N67" s="231"/>
      <c r="O67" s="231"/>
      <c r="P67" s="231"/>
      <c r="Q67" s="241"/>
      <c r="R67" s="241"/>
      <c r="S67" s="231"/>
    </row>
    <row r="68" spans="2:19" ht="12.5">
      <c r="B68" s="231"/>
      <c r="C68" s="310" t="s">
        <v>31</v>
      </c>
      <c r="D68" s="294"/>
      <c r="E68" s="328"/>
      <c r="F68" s="334">
        <v>0.01</v>
      </c>
      <c r="G68" s="396"/>
      <c r="H68" s="328"/>
      <c r="I68" s="240"/>
      <c r="J68" s="231"/>
      <c r="K68" s="241"/>
      <c r="L68" s="231"/>
      <c r="M68" s="231"/>
      <c r="N68" s="231"/>
      <c r="O68" s="231"/>
      <c r="P68" s="231"/>
      <c r="Q68" s="241"/>
      <c r="R68" s="241"/>
      <c r="S68" s="231"/>
    </row>
    <row r="69" spans="2:19" ht="12.5">
      <c r="B69" s="231"/>
      <c r="C69" s="310" t="s">
        <v>32</v>
      </c>
      <c r="D69" s="294"/>
      <c r="E69" s="328"/>
      <c r="F69" s="331">
        <f>+F67*F68</f>
        <v>0</v>
      </c>
      <c r="G69" s="331"/>
      <c r="H69" s="328"/>
      <c r="I69" s="240"/>
      <c r="J69" s="231"/>
      <c r="K69" s="241"/>
      <c r="L69" s="231"/>
      <c r="M69" s="231"/>
      <c r="N69" s="231"/>
      <c r="O69" s="231"/>
      <c r="P69" s="231"/>
      <c r="Q69" s="241"/>
      <c r="R69" s="241"/>
      <c r="S69" s="231"/>
    </row>
    <row r="70" spans="2:19" ht="12.5">
      <c r="B70" s="231"/>
      <c r="C70" s="310" t="s">
        <v>33</v>
      </c>
      <c r="D70" s="294"/>
      <c r="E70" s="328"/>
      <c r="F70" s="335">
        <f>+ROUND((F69*F66*F64)/(1-F68)*F68,0)</f>
        <v>0</v>
      </c>
      <c r="G70" s="397"/>
      <c r="H70" s="328"/>
      <c r="I70" s="240"/>
      <c r="J70" s="231"/>
      <c r="K70" s="241"/>
      <c r="L70" s="231"/>
      <c r="M70" s="231"/>
      <c r="N70" s="231"/>
      <c r="O70" s="231"/>
      <c r="P70" s="231"/>
      <c r="Q70" s="241"/>
      <c r="R70" s="241"/>
      <c r="S70" s="231"/>
    </row>
    <row r="71" spans="2:19" ht="12.5">
      <c r="B71" s="231"/>
      <c r="C71" s="310" t="s">
        <v>34</v>
      </c>
      <c r="D71" s="294"/>
      <c r="E71" s="328"/>
      <c r="F71" s="331">
        <f>+F69+F70</f>
        <v>0</v>
      </c>
      <c r="G71" s="331"/>
      <c r="H71" s="328"/>
      <c r="I71" s="240"/>
      <c r="J71" s="231"/>
      <c r="K71" s="241"/>
      <c r="L71" s="231"/>
      <c r="M71" s="231"/>
      <c r="N71" s="231"/>
      <c r="O71" s="231"/>
      <c r="P71" s="231"/>
      <c r="Q71" s="241"/>
      <c r="R71" s="241"/>
      <c r="S71" s="231"/>
    </row>
    <row r="72" spans="2:19" ht="12.5">
      <c r="B72" s="231"/>
      <c r="C72" s="231"/>
      <c r="D72" s="239"/>
      <c r="E72" s="231"/>
      <c r="F72" s="231"/>
      <c r="G72" s="231"/>
      <c r="H72" s="231"/>
      <c r="I72" s="240"/>
      <c r="J72" s="231"/>
      <c r="K72" s="241"/>
      <c r="L72" s="231"/>
      <c r="M72" s="231"/>
      <c r="N72" s="231"/>
      <c r="O72" s="231"/>
      <c r="P72" s="231"/>
      <c r="Q72" s="241"/>
      <c r="R72" s="241"/>
      <c r="S72" s="231"/>
    </row>
    <row r="73" spans="2:19" ht="15.5">
      <c r="B73" s="231"/>
      <c r="C73" s="243" t="str">
        <f>"D.   Determine FCR with hypothetical "&amp;F13&amp;" basis point ROE increase."</f>
        <v>D.   Determine FCR with hypothetical 0 basis point ROE increase.</v>
      </c>
      <c r="D73" s="239"/>
      <c r="E73" s="231"/>
      <c r="F73" s="231"/>
      <c r="G73" s="231"/>
      <c r="H73" s="231"/>
      <c r="I73" s="216"/>
      <c r="J73" s="231"/>
      <c r="K73" s="241"/>
      <c r="L73" s="231"/>
      <c r="M73" s="231"/>
      <c r="N73" s="231"/>
      <c r="O73" s="231"/>
      <c r="P73" s="231"/>
      <c r="Q73" s="241"/>
      <c r="R73" s="241"/>
      <c r="S73" s="231"/>
    </row>
    <row r="74" spans="2:19" ht="12.5">
      <c r="B74" s="231"/>
      <c r="C74" s="231"/>
      <c r="D74" s="239"/>
      <c r="E74" s="231"/>
      <c r="F74" s="231"/>
      <c r="G74" s="231"/>
      <c r="H74" s="231"/>
      <c r="I74" s="240"/>
      <c r="J74" s="231"/>
      <c r="K74" s="241"/>
      <c r="L74" s="231"/>
      <c r="M74" s="231"/>
      <c r="N74" s="231"/>
      <c r="O74" s="231"/>
      <c r="P74" s="231"/>
      <c r="Q74" s="241"/>
      <c r="R74" s="241"/>
      <c r="S74" s="231"/>
    </row>
    <row r="75" spans="2:19" ht="12.5">
      <c r="B75" s="231"/>
      <c r="C75" s="304" t="str">
        <f>S123</f>
        <v xml:space="preserve">   Net Transmission Plant  (TCOS, ln 37)</v>
      </c>
      <c r="D75" s="239"/>
      <c r="E75" s="231"/>
      <c r="F75" s="295">
        <f>R123</f>
        <v>747533676.94538474</v>
      </c>
      <c r="G75" s="295"/>
      <c r="I75" s="216"/>
      <c r="J75" s="231"/>
      <c r="K75" s="241"/>
      <c r="L75" s="231"/>
      <c r="M75" s="231"/>
      <c r="N75" s="231"/>
      <c r="O75" s="231"/>
      <c r="P75" s="231"/>
      <c r="Q75" s="241"/>
      <c r="R75" s="241"/>
      <c r="S75" s="231"/>
    </row>
    <row r="76" spans="2:19" ht="14">
      <c r="B76" s="231"/>
      <c r="C76" s="310" t="str">
        <f>"   Net Revenue Requirement, with "&amp;F13&amp;" Basis Point ROE increase"</f>
        <v xml:space="preserve">   Net Revenue Requirement, with 0 Basis Point ROE increase</v>
      </c>
      <c r="D76" s="239"/>
      <c r="E76" s="231"/>
      <c r="F76" s="398">
        <f>+F57</f>
        <v>110925423.16047648</v>
      </c>
      <c r="G76" s="398"/>
      <c r="I76" s="216"/>
      <c r="J76" s="231"/>
      <c r="K76" s="241"/>
      <c r="L76" s="231"/>
      <c r="M76" s="231"/>
      <c r="N76" s="231"/>
      <c r="O76" s="231"/>
      <c r="P76" s="231"/>
      <c r="Q76" s="241"/>
      <c r="R76" s="241"/>
      <c r="S76" s="231"/>
    </row>
    <row r="77" spans="2:19" ht="12.5">
      <c r="B77" s="231"/>
      <c r="C77" s="310" t="str">
        <f>"   FCR with "&amp;F13&amp;" Basis Point increase in ROE"</f>
        <v xml:space="preserve">   FCR with 0 Basis Point increase in ROE</v>
      </c>
      <c r="D77" s="239"/>
      <c r="E77" s="231"/>
      <c r="F77" s="337">
        <f>IF(F75=0,0,F76/F75)</f>
        <v>0.14838852961614565</v>
      </c>
      <c r="G77" s="337"/>
      <c r="I77" s="216"/>
      <c r="J77" s="231"/>
      <c r="K77" s="241"/>
      <c r="L77" s="231"/>
      <c r="M77" s="231"/>
      <c r="N77" s="231"/>
      <c r="O77" s="231"/>
      <c r="P77" s="231"/>
      <c r="Q77" s="241"/>
      <c r="R77" s="241"/>
      <c r="S77" s="231"/>
    </row>
    <row r="78" spans="2:19" ht="12.5">
      <c r="B78" s="231"/>
      <c r="D78" s="239"/>
      <c r="E78" s="231"/>
      <c r="F78" s="328"/>
      <c r="G78" s="328"/>
      <c r="H78" s="399"/>
      <c r="I78" s="216"/>
      <c r="J78" s="231"/>
      <c r="K78" s="241"/>
      <c r="L78" s="231"/>
      <c r="M78" s="231"/>
      <c r="N78" s="231"/>
      <c r="O78" s="231"/>
      <c r="P78" s="231"/>
      <c r="Q78" s="241"/>
      <c r="R78" s="241"/>
      <c r="S78" s="231"/>
    </row>
    <row r="79" spans="2:19" ht="12.5">
      <c r="B79" s="231"/>
      <c r="C79" s="310" t="str">
        <f>"   Net Rev. Req, w / "&amp;F13&amp;" Basis Point ROE increase, less Dep."</f>
        <v xml:space="preserve">   Net Rev. Req, w / 0 Basis Point ROE increase, less Dep.</v>
      </c>
      <c r="D79" s="239"/>
      <c r="E79" s="231"/>
      <c r="F79" s="295">
        <f>+F59</f>
        <v>85388568.977181807</v>
      </c>
      <c r="G79" s="295"/>
      <c r="I79" s="216"/>
      <c r="J79" s="231"/>
      <c r="K79" s="241"/>
      <c r="L79" s="231"/>
      <c r="M79" s="231"/>
      <c r="N79" s="231"/>
      <c r="O79" s="231"/>
      <c r="P79" s="231"/>
      <c r="Q79" s="241"/>
      <c r="R79" s="241"/>
      <c r="S79" s="231"/>
    </row>
    <row r="80" spans="2:19" ht="12.5">
      <c r="B80" s="231"/>
      <c r="C80" s="310" t="str">
        <f>"   FCR with "&amp;F13&amp;" Basis Point ROE increase, less Depreciation"</f>
        <v xml:space="preserve">   FCR with 0 Basis Point ROE increase, less Depreciation</v>
      </c>
      <c r="D80" s="239"/>
      <c r="E80" s="231"/>
      <c r="F80" s="337">
        <f>IF(F75=0,0,F79/F75)</f>
        <v>0.11422705305545766</v>
      </c>
      <c r="G80" s="337"/>
      <c r="H80" s="244"/>
      <c r="I80" s="216"/>
      <c r="J80" s="231"/>
      <c r="K80" s="241"/>
      <c r="L80" s="231"/>
      <c r="M80" s="231"/>
      <c r="N80" s="231"/>
      <c r="O80" s="231"/>
      <c r="P80" s="231"/>
      <c r="Q80" s="241"/>
      <c r="R80" s="241"/>
      <c r="S80" s="231"/>
    </row>
    <row r="81" spans="2:19" ht="12.5">
      <c r="B81" s="231"/>
      <c r="C81" s="304" t="str">
        <f>S124</f>
        <v xml:space="preserve">   FCR less Depreciation  (TCOS, ln 10)</v>
      </c>
      <c r="D81" s="239"/>
      <c r="E81" s="231"/>
      <c r="F81" s="338">
        <f>R124</f>
        <v>0.11422705305545768</v>
      </c>
      <c r="G81" s="338"/>
      <c r="H81" s="400"/>
      <c r="I81" s="216"/>
      <c r="J81" s="231"/>
      <c r="K81" s="241"/>
      <c r="L81" s="231"/>
      <c r="M81" s="231"/>
      <c r="N81" s="231"/>
      <c r="O81" s="231"/>
      <c r="P81" s="231"/>
      <c r="Q81" s="241"/>
      <c r="R81" s="241"/>
      <c r="S81" s="231"/>
    </row>
    <row r="82" spans="2:19" ht="12.5">
      <c r="B82" s="231"/>
      <c r="C82" s="310" t="str">
        <f>"   Incremental FCR with "&amp;F13&amp;" Basis Point ROE increase, less Depreciation"</f>
        <v xml:space="preserve">   Incremental FCR with 0 Basis Point ROE increase, less Depreciation</v>
      </c>
      <c r="D82" s="239"/>
      <c r="E82" s="231"/>
      <c r="F82" s="337">
        <f>F80-F81</f>
        <v>0</v>
      </c>
      <c r="G82" s="337"/>
      <c r="I82" s="216"/>
      <c r="J82" s="231"/>
      <c r="K82" s="241"/>
      <c r="L82" s="231"/>
      <c r="M82" s="231"/>
      <c r="N82" s="231"/>
      <c r="O82" s="231"/>
      <c r="P82" s="231"/>
      <c r="Q82" s="241"/>
      <c r="R82" s="241"/>
      <c r="S82" s="231"/>
    </row>
    <row r="83" spans="2:19" ht="12.5">
      <c r="B83" s="231"/>
      <c r="C83" s="310"/>
      <c r="D83" s="239"/>
      <c r="E83" s="231"/>
      <c r="F83" s="337"/>
      <c r="G83" s="337"/>
      <c r="H83" s="231"/>
      <c r="I83" s="240"/>
      <c r="J83" s="231"/>
      <c r="K83" s="241"/>
      <c r="L83" s="231"/>
      <c r="M83" s="231"/>
      <c r="N83" s="231"/>
      <c r="O83" s="231"/>
      <c r="P83" s="231"/>
      <c r="Q83" s="241"/>
      <c r="R83" s="241"/>
      <c r="S83" s="231"/>
    </row>
    <row r="84" spans="2:19" ht="18">
      <c r="B84" s="301" t="s">
        <v>35</v>
      </c>
      <c r="C84" s="302" t="s">
        <v>36</v>
      </c>
      <c r="D84" s="239"/>
      <c r="E84" s="231"/>
      <c r="F84" s="337"/>
      <c r="G84" s="337"/>
      <c r="H84" s="231"/>
      <c r="I84" s="240"/>
      <c r="J84" s="231"/>
      <c r="K84" s="241"/>
      <c r="L84" s="231"/>
      <c r="M84" s="231"/>
      <c r="N84" s="231"/>
      <c r="O84" s="231"/>
      <c r="P84" s="231"/>
      <c r="Q84" s="241"/>
      <c r="R84" s="241"/>
      <c r="S84" s="231"/>
    </row>
    <row r="85" spans="2:19" ht="12.75" customHeight="1">
      <c r="B85" s="301"/>
      <c r="C85" s="302"/>
      <c r="D85" s="239"/>
      <c r="E85" s="231"/>
      <c r="F85" s="337"/>
      <c r="G85" s="337"/>
      <c r="H85" s="231"/>
      <c r="I85" s="240"/>
      <c r="J85" s="231"/>
      <c r="K85" s="241"/>
      <c r="L85" s="231"/>
      <c r="M85" s="231"/>
      <c r="N85" s="231"/>
      <c r="O85" s="231"/>
      <c r="P85" s="231"/>
      <c r="Q85" s="241"/>
      <c r="R85" s="241"/>
      <c r="S85" s="231"/>
    </row>
    <row r="86" spans="2:19" ht="12.75" customHeight="1">
      <c r="B86" s="301"/>
      <c r="C86" s="310" t="s">
        <v>37</v>
      </c>
      <c r="D86" s="239"/>
      <c r="F86" s="332">
        <f>R125</f>
        <v>1164352861</v>
      </c>
      <c r="G86" s="231" t="s">
        <v>278</v>
      </c>
      <c r="I86" s="240"/>
      <c r="J86" s="231"/>
      <c r="K86" s="241"/>
      <c r="L86" s="231"/>
      <c r="M86" s="231"/>
      <c r="N86" s="231"/>
      <c r="O86" s="231"/>
      <c r="P86" s="231"/>
      <c r="Q86" s="241"/>
      <c r="R86" s="241"/>
      <c r="S86" s="231"/>
    </row>
    <row r="87" spans="2:19" ht="12.75" customHeight="1">
      <c r="B87" s="301"/>
      <c r="C87" s="310" t="s">
        <v>38</v>
      </c>
      <c r="D87" s="239"/>
      <c r="F87" s="339">
        <f>R126</f>
        <v>1228403478</v>
      </c>
      <c r="G87" s="231" t="s">
        <v>278</v>
      </c>
      <c r="I87" s="240"/>
      <c r="J87" s="231"/>
      <c r="K87" s="241"/>
      <c r="L87" s="231"/>
      <c r="M87" s="231"/>
      <c r="N87" s="231"/>
      <c r="O87" s="231"/>
      <c r="P87" s="231"/>
      <c r="Q87" s="241"/>
      <c r="R87" s="241"/>
      <c r="S87" s="231"/>
    </row>
    <row r="88" spans="2:19" ht="12.75" customHeight="1">
      <c r="B88" s="301"/>
      <c r="C88" s="310"/>
      <c r="D88" s="239"/>
      <c r="F88" s="240">
        <f>+F87+F86</f>
        <v>2392756339</v>
      </c>
      <c r="G88" s="240"/>
      <c r="H88" s="231"/>
      <c r="I88" s="240"/>
      <c r="J88" s="231"/>
      <c r="K88" s="241"/>
      <c r="L88" s="231"/>
      <c r="M88" s="231"/>
      <c r="N88" s="231"/>
      <c r="O88" s="231"/>
      <c r="P88" s="231"/>
      <c r="Q88" s="241"/>
      <c r="R88" s="241"/>
      <c r="S88" s="231"/>
    </row>
    <row r="89" spans="2:19" ht="12.5">
      <c r="B89" s="231"/>
      <c r="C89" s="310" t="str">
        <f>+S127</f>
        <v>Transmission Plant Average Balance for 2023 (WS A-1 Ln 14 Col (d))</v>
      </c>
      <c r="D89" s="294"/>
      <c r="E89" s="155"/>
      <c r="F89" s="321">
        <f>+F88/2</f>
        <v>1196378169.5</v>
      </c>
      <c r="G89" s="321"/>
      <c r="I89" s="240"/>
      <c r="J89" s="231"/>
      <c r="K89" s="241"/>
      <c r="L89" s="231"/>
      <c r="M89" s="231"/>
      <c r="N89" s="231"/>
      <c r="O89" s="231"/>
      <c r="P89" s="231"/>
      <c r="Q89" s="241"/>
      <c r="R89" s="241"/>
      <c r="S89" s="231"/>
    </row>
    <row r="90" spans="2:19" ht="12.5">
      <c r="B90" s="231"/>
      <c r="C90" s="246" t="str">
        <f>S128</f>
        <v>Annual Depreciation Expense  (TCOS, ln 86)</v>
      </c>
      <c r="D90" s="294"/>
      <c r="E90" s="328"/>
      <c r="F90" s="321">
        <f>R128</f>
        <v>31701204</v>
      </c>
      <c r="G90" s="321"/>
      <c r="I90" s="240"/>
      <c r="J90" s="231"/>
      <c r="K90" s="241"/>
      <c r="L90" s="231"/>
      <c r="M90" s="231"/>
      <c r="N90" s="231"/>
      <c r="O90" s="231"/>
      <c r="P90" s="231"/>
      <c r="Q90" s="241"/>
      <c r="R90" s="241"/>
      <c r="S90" s="231"/>
    </row>
    <row r="91" spans="2:19" ht="12.5">
      <c r="B91" s="231"/>
      <c r="C91" s="310" t="s">
        <v>39</v>
      </c>
      <c r="D91" s="239"/>
      <c r="E91" s="231"/>
      <c r="F91" s="337">
        <f>IF(F89=0,0,F90/F89)</f>
        <v>2.6497644982312593E-2</v>
      </c>
      <c r="G91" s="337"/>
      <c r="H91" s="231"/>
      <c r="I91" s="341"/>
      <c r="J91" s="231"/>
      <c r="K91" s="241"/>
      <c r="L91" s="231"/>
      <c r="M91" s="231"/>
      <c r="N91" s="231"/>
      <c r="O91" s="231"/>
      <c r="P91" s="231"/>
      <c r="Q91" s="241"/>
      <c r="R91" s="241"/>
      <c r="S91" s="231"/>
    </row>
    <row r="92" spans="2:19" ht="12.5">
      <c r="B92" s="231"/>
      <c r="C92" s="310" t="s">
        <v>40</v>
      </c>
      <c r="D92" s="239"/>
      <c r="E92" s="231"/>
      <c r="F92" s="342">
        <f>IF(F91=0,0,1/F91)</f>
        <v>37.739202886426646</v>
      </c>
      <c r="G92" s="342"/>
      <c r="H92" s="231"/>
      <c r="I92" s="240"/>
      <c r="J92" s="231"/>
      <c r="K92" s="241"/>
      <c r="L92" s="231"/>
      <c r="M92" s="231"/>
      <c r="N92" s="231"/>
      <c r="O92" s="231"/>
      <c r="P92" s="231"/>
      <c r="Q92" s="241"/>
      <c r="R92" s="241"/>
      <c r="S92" s="231"/>
    </row>
    <row r="93" spans="2:19" ht="12.5">
      <c r="B93" s="231"/>
      <c r="C93" s="310" t="s">
        <v>41</v>
      </c>
      <c r="D93" s="239"/>
      <c r="E93" s="231"/>
      <c r="F93" s="343">
        <f>ROUND(F92,0)</f>
        <v>38</v>
      </c>
      <c r="G93" s="343"/>
      <c r="H93" s="231"/>
      <c r="I93" s="240"/>
      <c r="J93" s="231"/>
      <c r="K93" s="241"/>
      <c r="L93" s="231"/>
      <c r="M93" s="231"/>
      <c r="N93" s="231"/>
      <c r="O93" s="231"/>
      <c r="P93" s="231"/>
      <c r="Q93" s="241"/>
      <c r="R93" s="241"/>
      <c r="S93" s="231"/>
    </row>
    <row r="94" spans="2:19" ht="12.5">
      <c r="B94" s="231"/>
      <c r="C94" s="310"/>
      <c r="D94" s="239"/>
      <c r="E94" s="231"/>
      <c r="F94" s="343"/>
      <c r="G94" s="343"/>
      <c r="H94" s="231"/>
      <c r="I94" s="240"/>
      <c r="J94" s="231"/>
      <c r="K94" s="241"/>
      <c r="L94" s="231"/>
      <c r="M94" s="231"/>
      <c r="N94" s="231"/>
      <c r="O94" s="231"/>
      <c r="P94" s="231"/>
      <c r="Q94" s="241"/>
      <c r="R94" s="241"/>
      <c r="S94" s="231"/>
    </row>
    <row r="95" spans="2:19" ht="12.5">
      <c r="B95" s="231"/>
      <c r="C95" s="310"/>
      <c r="D95" s="239"/>
      <c r="E95" s="231"/>
      <c r="F95" s="343"/>
      <c r="G95" s="343"/>
      <c r="H95" s="231"/>
      <c r="I95" s="240"/>
      <c r="J95" s="231"/>
      <c r="K95" s="241"/>
      <c r="L95" s="231"/>
      <c r="M95" s="231"/>
      <c r="N95" s="231"/>
      <c r="O95" s="231"/>
      <c r="P95" s="231"/>
      <c r="Q95" s="241"/>
      <c r="R95" s="241"/>
      <c r="S95" s="231"/>
    </row>
    <row r="96" spans="2:19" ht="12.5">
      <c r="B96" s="231"/>
      <c r="C96" s="310"/>
      <c r="D96" s="239"/>
      <c r="E96" s="231"/>
      <c r="F96" s="343"/>
      <c r="G96" s="343"/>
      <c r="H96" s="231"/>
      <c r="I96" s="240"/>
      <c r="J96" s="231"/>
      <c r="K96" s="241"/>
      <c r="L96" s="231"/>
      <c r="M96" s="231"/>
      <c r="N96" s="231"/>
      <c r="O96" s="231"/>
      <c r="P96" s="231"/>
      <c r="Q96" s="241"/>
      <c r="R96" s="241"/>
      <c r="S96" s="231"/>
    </row>
    <row r="97" spans="3:19" ht="13">
      <c r="C97" s="231"/>
      <c r="D97" s="239"/>
      <c r="E97" s="231"/>
      <c r="F97" s="231"/>
      <c r="G97" s="231"/>
      <c r="H97" s="231"/>
      <c r="I97" s="240"/>
      <c r="J97" s="231"/>
      <c r="K97" s="241"/>
      <c r="L97" s="231"/>
      <c r="M97" s="231"/>
      <c r="N97" s="231"/>
      <c r="O97" s="231"/>
      <c r="P97" s="231"/>
      <c r="Q97" s="241"/>
      <c r="R97" s="348" t="s">
        <v>126</v>
      </c>
      <c r="S97" s="232" t="s">
        <v>132</v>
      </c>
    </row>
    <row r="98" spans="3:19" ht="12.5">
      <c r="C98" s="231"/>
      <c r="D98" s="239"/>
      <c r="E98" s="231"/>
      <c r="F98" s="231"/>
      <c r="G98" s="231"/>
      <c r="H98" s="231"/>
      <c r="I98" s="240"/>
      <c r="J98" s="231"/>
      <c r="K98" s="241"/>
      <c r="L98" s="231"/>
      <c r="M98" s="231"/>
      <c r="N98" s="231"/>
      <c r="O98" s="231"/>
      <c r="P98" s="231"/>
      <c r="Q98" s="241"/>
    </row>
    <row r="99" spans="3:19" ht="13">
      <c r="C99" s="238" t="s">
        <v>122</v>
      </c>
      <c r="J99" s="194"/>
      <c r="L99" s="238" t="s">
        <v>121</v>
      </c>
      <c r="N99" s="231"/>
      <c r="O99" s="231"/>
      <c r="P99" s="231"/>
      <c r="Q99" s="241"/>
    </row>
    <row r="100" spans="3:19" ht="12.5">
      <c r="C100" s="231"/>
      <c r="D100" s="239"/>
      <c r="E100" s="231"/>
      <c r="F100" s="231"/>
      <c r="G100" s="231"/>
      <c r="H100" s="231"/>
      <c r="I100" s="240"/>
      <c r="J100" s="231"/>
      <c r="K100" s="241"/>
      <c r="L100" s="231"/>
      <c r="M100" s="231"/>
      <c r="N100" s="231"/>
      <c r="O100" s="231"/>
      <c r="P100" s="231"/>
      <c r="Q100" s="241"/>
      <c r="S100" s="232" t="s">
        <v>119</v>
      </c>
    </row>
    <row r="101" spans="3:19" ht="13">
      <c r="C101" s="231"/>
      <c r="D101" s="239"/>
      <c r="E101" s="231"/>
      <c r="F101" s="231"/>
      <c r="G101" s="231"/>
      <c r="H101" s="231"/>
      <c r="I101" s="240"/>
      <c r="J101" s="231"/>
      <c r="K101" s="241"/>
      <c r="L101" s="231"/>
      <c r="M101" s="231"/>
      <c r="N101" s="231"/>
      <c r="O101" s="231"/>
      <c r="P101" s="231"/>
      <c r="Q101" s="241"/>
      <c r="R101" s="348" t="s">
        <v>115</v>
      </c>
      <c r="S101" s="203" t="s">
        <v>135</v>
      </c>
    </row>
    <row r="102" spans="3:19" ht="13.5" thickBot="1">
      <c r="C102" s="231"/>
      <c r="D102" s="239"/>
      <c r="E102" s="231"/>
      <c r="F102" s="231"/>
      <c r="G102" s="231"/>
      <c r="H102" s="231"/>
      <c r="I102" s="240"/>
      <c r="J102" s="231"/>
      <c r="K102" s="241"/>
      <c r="L102" s="231"/>
      <c r="M102" s="231"/>
      <c r="N102" s="231"/>
      <c r="O102" s="231"/>
      <c r="P102" s="231"/>
      <c r="Q102" s="241"/>
      <c r="R102" s="349" t="s">
        <v>227</v>
      </c>
    </row>
    <row r="103" spans="3:19" ht="12.5">
      <c r="C103" s="231"/>
      <c r="D103" s="239"/>
      <c r="E103" s="231"/>
      <c r="F103" s="231"/>
      <c r="G103" s="231"/>
      <c r="H103" s="231"/>
      <c r="I103" s="240"/>
      <c r="J103" s="231"/>
      <c r="K103" s="241"/>
      <c r="L103" s="231"/>
      <c r="M103" s="231"/>
      <c r="N103" s="231"/>
      <c r="O103" s="231"/>
      <c r="P103" s="231"/>
      <c r="Q103" s="241"/>
      <c r="R103" s="401" t="s">
        <v>212</v>
      </c>
      <c r="S103" s="402" t="s">
        <v>143</v>
      </c>
    </row>
    <row r="104" spans="3:19" ht="12.5">
      <c r="C104" s="231"/>
      <c r="D104" s="239"/>
      <c r="E104" s="231"/>
      <c r="F104" s="231"/>
      <c r="G104" s="231"/>
      <c r="H104" s="231"/>
      <c r="I104" s="240"/>
      <c r="J104" s="231"/>
      <c r="K104" s="241"/>
      <c r="L104" s="231"/>
      <c r="M104" s="231"/>
      <c r="N104" s="231"/>
      <c r="O104" s="231"/>
      <c r="P104" s="231"/>
      <c r="Q104" s="241"/>
      <c r="R104" s="403">
        <v>2023</v>
      </c>
      <c r="S104" s="271" t="s">
        <v>94</v>
      </c>
    </row>
    <row r="105" spans="3:19" ht="12.5">
      <c r="C105" s="231"/>
      <c r="D105" s="239"/>
      <c r="E105" s="231"/>
      <c r="F105" s="231"/>
      <c r="G105" s="231"/>
      <c r="H105" s="231"/>
      <c r="I105" s="240"/>
      <c r="J105" s="231"/>
      <c r="K105" s="241"/>
      <c r="L105" s="231"/>
      <c r="M105" s="231"/>
      <c r="N105" s="231"/>
      <c r="O105" s="231"/>
      <c r="P105" s="231"/>
      <c r="Q105" s="241"/>
      <c r="R105" s="404">
        <v>0.105</v>
      </c>
      <c r="S105" s="353" t="s">
        <v>349</v>
      </c>
    </row>
    <row r="106" spans="3:19" ht="12.5">
      <c r="C106" s="231"/>
      <c r="D106" s="239"/>
      <c r="E106" s="231"/>
      <c r="F106" s="231"/>
      <c r="G106" s="231"/>
      <c r="H106" s="231"/>
      <c r="I106" s="240"/>
      <c r="J106" s="231"/>
      <c r="K106" s="241"/>
      <c r="L106" s="231"/>
      <c r="M106" s="231"/>
      <c r="N106" s="231"/>
      <c r="O106" s="231"/>
      <c r="P106" s="231"/>
      <c r="Q106" s="241"/>
      <c r="R106" s="405">
        <v>0</v>
      </c>
      <c r="S106" s="353" t="s">
        <v>1</v>
      </c>
    </row>
    <row r="107" spans="3:19" ht="12.5">
      <c r="C107" s="231"/>
      <c r="D107" s="239"/>
      <c r="E107" s="231"/>
      <c r="F107" s="231"/>
      <c r="G107" s="231"/>
      <c r="H107" s="231"/>
      <c r="I107" s="240"/>
      <c r="J107" s="231"/>
      <c r="K107" s="241"/>
      <c r="L107" s="231"/>
      <c r="M107" s="231"/>
      <c r="N107" s="231"/>
      <c r="O107" s="231"/>
      <c r="P107" s="231"/>
      <c r="Q107" s="241"/>
      <c r="R107" s="404">
        <v>0.48857636133057952</v>
      </c>
      <c r="S107" s="357" t="s">
        <v>109</v>
      </c>
    </row>
    <row r="108" spans="3:19" ht="12.5">
      <c r="C108" s="231"/>
      <c r="D108" s="239"/>
      <c r="E108" s="231"/>
      <c r="F108" s="231"/>
      <c r="G108" s="231"/>
      <c r="H108" s="231"/>
      <c r="I108" s="240"/>
      <c r="J108" s="231"/>
      <c r="K108" s="241"/>
      <c r="L108" s="231"/>
      <c r="M108" s="231"/>
      <c r="N108" s="231"/>
      <c r="O108" s="231"/>
      <c r="P108" s="231"/>
      <c r="Q108" s="241"/>
      <c r="R108" s="406">
        <v>4.3233991583193764E-2</v>
      </c>
      <c r="S108" s="357" t="s">
        <v>110</v>
      </c>
    </row>
    <row r="109" spans="3:19" ht="12.5">
      <c r="C109" s="231"/>
      <c r="D109" s="239"/>
      <c r="E109" s="231"/>
      <c r="F109" s="231"/>
      <c r="G109" s="231"/>
      <c r="H109" s="231"/>
      <c r="I109" s="240"/>
      <c r="J109" s="231"/>
      <c r="K109" s="241"/>
      <c r="L109" s="231"/>
      <c r="M109" s="231"/>
      <c r="N109" s="231"/>
      <c r="O109" s="231"/>
      <c r="P109" s="231"/>
      <c r="Q109" s="241"/>
      <c r="R109" s="404">
        <v>0</v>
      </c>
      <c r="S109" s="357" t="s">
        <v>111</v>
      </c>
    </row>
    <row r="110" spans="3:19" ht="12.5">
      <c r="C110" s="231"/>
      <c r="D110" s="239"/>
      <c r="E110" s="231"/>
      <c r="F110" s="231"/>
      <c r="G110" s="231"/>
      <c r="H110" s="231"/>
      <c r="I110" s="240"/>
      <c r="J110" s="231"/>
      <c r="K110" s="241"/>
      <c r="L110" s="231"/>
      <c r="M110" s="231"/>
      <c r="N110" s="231"/>
      <c r="O110" s="231"/>
      <c r="P110" s="231"/>
      <c r="Q110" s="241"/>
      <c r="R110" s="406">
        <v>0</v>
      </c>
      <c r="S110" s="357" t="s">
        <v>112</v>
      </c>
    </row>
    <row r="111" spans="3:19" ht="12.5">
      <c r="C111" s="231"/>
      <c r="D111" s="239"/>
      <c r="E111" s="231"/>
      <c r="F111" s="231"/>
      <c r="G111" s="231"/>
      <c r="H111" s="231"/>
      <c r="I111" s="240"/>
      <c r="J111" s="231"/>
      <c r="K111" s="241"/>
      <c r="L111" s="231"/>
      <c r="M111" s="231"/>
      <c r="N111" s="231"/>
      <c r="O111" s="231"/>
      <c r="P111" s="231"/>
      <c r="Q111" s="241"/>
      <c r="R111" s="404">
        <v>0.51142363866942053</v>
      </c>
      <c r="S111" s="358" t="s">
        <v>113</v>
      </c>
    </row>
    <row r="112" spans="3:19" ht="12.5">
      <c r="C112" s="231"/>
      <c r="D112" s="239"/>
      <c r="E112" s="231"/>
      <c r="F112" s="231"/>
      <c r="G112" s="231"/>
      <c r="H112" s="231"/>
      <c r="I112" s="240"/>
      <c r="J112" s="231"/>
      <c r="K112" s="241"/>
      <c r="L112" s="231"/>
      <c r="M112" s="231"/>
      <c r="N112" s="231"/>
      <c r="O112" s="231"/>
      <c r="P112" s="231"/>
      <c r="Q112" s="241"/>
      <c r="R112" s="359">
        <v>641560429.46690011</v>
      </c>
      <c r="S112" s="407" t="s">
        <v>350</v>
      </c>
    </row>
    <row r="113" spans="3:19" ht="12.5">
      <c r="C113" s="231"/>
      <c r="D113" s="239"/>
      <c r="E113" s="231"/>
      <c r="F113" s="231"/>
      <c r="G113" s="231"/>
      <c r="H113" s="231"/>
      <c r="I113" s="240"/>
      <c r="J113" s="231"/>
      <c r="K113" s="241"/>
      <c r="L113" s="231"/>
      <c r="M113" s="231"/>
      <c r="N113" s="231"/>
      <c r="O113" s="231"/>
      <c r="P113" s="231"/>
      <c r="Q113" s="241"/>
      <c r="R113" s="361">
        <v>0.24025699999999994</v>
      </c>
      <c r="S113" s="408" t="s">
        <v>351</v>
      </c>
    </row>
    <row r="114" spans="3:19" ht="12.5">
      <c r="C114" s="231"/>
      <c r="D114" s="239"/>
      <c r="E114" s="231"/>
      <c r="F114" s="231"/>
      <c r="G114" s="231"/>
      <c r="H114" s="231"/>
      <c r="I114" s="240"/>
      <c r="J114" s="231"/>
      <c r="K114" s="241"/>
      <c r="L114" s="231"/>
      <c r="M114" s="231"/>
      <c r="N114" s="231"/>
      <c r="O114" s="231"/>
      <c r="P114" s="231"/>
      <c r="Q114" s="241"/>
      <c r="R114" s="359">
        <v>-170245.84433530955</v>
      </c>
      <c r="S114" s="408" t="s">
        <v>352</v>
      </c>
    </row>
    <row r="115" spans="3:19" ht="12.5">
      <c r="C115" s="231"/>
      <c r="D115" s="239"/>
      <c r="E115" s="231"/>
      <c r="F115" s="231"/>
      <c r="G115" s="231"/>
      <c r="H115" s="231"/>
      <c r="I115" s="240"/>
      <c r="J115" s="231"/>
      <c r="K115" s="241"/>
      <c r="L115" s="231"/>
      <c r="M115" s="231"/>
      <c r="N115" s="231"/>
      <c r="O115" s="231"/>
      <c r="P115" s="231"/>
      <c r="Q115" s="241"/>
      <c r="R115" s="359">
        <v>-1250129.5522220435</v>
      </c>
      <c r="S115" s="409" t="s">
        <v>312</v>
      </c>
    </row>
    <row r="116" spans="3:19" ht="12.5">
      <c r="C116" s="231"/>
      <c r="D116" s="239"/>
      <c r="E116" s="231"/>
      <c r="F116" s="231"/>
      <c r="G116" s="231"/>
      <c r="H116" s="231"/>
      <c r="I116" s="240"/>
      <c r="J116" s="231"/>
      <c r="K116" s="241"/>
      <c r="L116" s="231"/>
      <c r="M116" s="231"/>
      <c r="N116" s="231"/>
      <c r="O116" s="231"/>
      <c r="P116" s="231"/>
      <c r="Q116" s="241"/>
      <c r="R116" s="359">
        <v>95483.523953146097</v>
      </c>
      <c r="S116" s="409" t="s">
        <v>313</v>
      </c>
    </row>
    <row r="117" spans="3:19" ht="12.5">
      <c r="C117" s="231"/>
      <c r="D117" s="239"/>
      <c r="E117" s="231"/>
      <c r="F117" s="231"/>
      <c r="G117" s="231"/>
      <c r="H117" s="231"/>
      <c r="I117" s="240"/>
      <c r="J117" s="231"/>
      <c r="K117" s="241"/>
      <c r="L117" s="231"/>
      <c r="M117" s="231"/>
      <c r="N117" s="231"/>
      <c r="O117" s="231"/>
      <c r="P117" s="231"/>
      <c r="Q117" s="241"/>
      <c r="R117" s="359">
        <v>110925423.16047649</v>
      </c>
      <c r="S117" s="408" t="s">
        <v>353</v>
      </c>
    </row>
    <row r="118" spans="3:19" ht="12.5">
      <c r="C118" s="231"/>
      <c r="D118" s="239"/>
      <c r="E118" s="231"/>
      <c r="F118" s="231"/>
      <c r="G118" s="231"/>
      <c r="H118" s="231"/>
      <c r="I118" s="240"/>
      <c r="J118" s="231"/>
      <c r="K118" s="241"/>
      <c r="L118" s="231"/>
      <c r="M118" s="231"/>
      <c r="N118" s="231"/>
      <c r="O118" s="231"/>
      <c r="P118" s="231"/>
      <c r="Q118" s="241"/>
      <c r="R118" s="359">
        <v>48003211.91809085</v>
      </c>
      <c r="S118" s="408" t="s">
        <v>354</v>
      </c>
    </row>
    <row r="119" spans="3:19" ht="12.5">
      <c r="C119" s="231"/>
      <c r="D119" s="239"/>
      <c r="E119" s="231"/>
      <c r="F119" s="231"/>
      <c r="G119" s="231"/>
      <c r="H119" s="231"/>
      <c r="I119" s="240"/>
      <c r="J119" s="231"/>
      <c r="K119" s="241"/>
      <c r="L119" s="231"/>
      <c r="M119" s="231"/>
      <c r="N119" s="231"/>
      <c r="O119" s="231"/>
      <c r="P119" s="231"/>
      <c r="Q119" s="241"/>
      <c r="R119" s="359">
        <v>9569851.601692237</v>
      </c>
      <c r="S119" s="408" t="s">
        <v>355</v>
      </c>
    </row>
    <row r="120" spans="3:19" ht="12.5">
      <c r="C120" s="231"/>
      <c r="D120" s="239"/>
      <c r="E120" s="231"/>
      <c r="F120" s="231"/>
      <c r="G120" s="231"/>
      <c r="H120" s="231"/>
      <c r="I120" s="240"/>
      <c r="J120" s="231"/>
      <c r="K120" s="241"/>
      <c r="L120" s="231"/>
      <c r="M120" s="231"/>
      <c r="N120" s="231"/>
      <c r="O120" s="231"/>
      <c r="P120" s="231"/>
      <c r="Q120" s="241"/>
      <c r="R120" s="359">
        <v>0</v>
      </c>
      <c r="S120" s="408" t="s">
        <v>356</v>
      </c>
    </row>
    <row r="121" spans="3:19" ht="12.5">
      <c r="C121" s="231"/>
      <c r="D121" s="239"/>
      <c r="E121" s="231"/>
      <c r="F121" s="231"/>
      <c r="G121" s="231"/>
      <c r="H121" s="231"/>
      <c r="I121" s="240"/>
      <c r="J121" s="231"/>
      <c r="K121" s="241"/>
      <c r="L121" s="231"/>
      <c r="M121" s="231"/>
      <c r="N121" s="231"/>
      <c r="O121" s="231"/>
      <c r="P121" s="231"/>
      <c r="Q121" s="241"/>
      <c r="R121" s="359">
        <v>25536854.183294665</v>
      </c>
      <c r="S121" s="408" t="s">
        <v>357</v>
      </c>
    </row>
    <row r="122" spans="3:19" ht="12.5">
      <c r="C122" s="231"/>
      <c r="D122" s="239"/>
      <c r="E122" s="231"/>
      <c r="F122" s="231"/>
      <c r="G122" s="231"/>
      <c r="H122" s="231"/>
      <c r="I122" s="240"/>
      <c r="J122" s="231"/>
      <c r="K122" s="241"/>
      <c r="L122" s="231"/>
      <c r="M122" s="231"/>
      <c r="N122" s="231"/>
      <c r="O122" s="231"/>
      <c r="P122" s="231"/>
      <c r="Q122" s="241"/>
      <c r="R122" s="361">
        <v>0</v>
      </c>
      <c r="S122" s="408" t="s">
        <v>118</v>
      </c>
    </row>
    <row r="123" spans="3:19" ht="12.5">
      <c r="C123" s="231"/>
      <c r="D123" s="239"/>
      <c r="E123" s="231"/>
      <c r="F123" s="231"/>
      <c r="G123" s="231"/>
      <c r="H123" s="231"/>
      <c r="I123" s="240"/>
      <c r="J123" s="231"/>
      <c r="K123" s="241"/>
      <c r="L123" s="231"/>
      <c r="M123" s="231"/>
      <c r="N123" s="231"/>
      <c r="O123" s="231"/>
      <c r="P123" s="231"/>
      <c r="Q123" s="241"/>
      <c r="R123" s="359">
        <v>747533676.94538474</v>
      </c>
      <c r="S123" s="408" t="s">
        <v>324</v>
      </c>
    </row>
    <row r="124" spans="3:19" ht="12.5">
      <c r="C124" s="231"/>
      <c r="D124" s="239"/>
      <c r="E124" s="231"/>
      <c r="F124" s="231"/>
      <c r="G124" s="231"/>
      <c r="H124" s="231"/>
      <c r="I124" s="240"/>
      <c r="J124" s="231"/>
      <c r="K124" s="241"/>
      <c r="L124" s="231"/>
      <c r="M124" s="231"/>
      <c r="N124" s="231"/>
      <c r="O124" s="231"/>
      <c r="P124" s="231"/>
      <c r="Q124" s="241"/>
      <c r="R124" s="361">
        <v>0.11422705305545768</v>
      </c>
      <c r="S124" s="364" t="s">
        <v>358</v>
      </c>
    </row>
    <row r="125" spans="3:19" ht="12.5">
      <c r="C125" s="231"/>
      <c r="D125" s="239"/>
      <c r="E125" s="231"/>
      <c r="F125" s="231"/>
      <c r="G125" s="231"/>
      <c r="H125" s="231"/>
      <c r="I125" s="240"/>
      <c r="J125" s="231"/>
      <c r="K125" s="241"/>
      <c r="L125" s="231"/>
      <c r="M125" s="231"/>
      <c r="N125" s="231"/>
      <c r="O125" s="231"/>
      <c r="P125" s="231"/>
      <c r="Q125" s="241"/>
      <c r="R125" s="628">
        <v>1164352861</v>
      </c>
      <c r="S125" s="357" t="s">
        <v>37</v>
      </c>
    </row>
    <row r="126" spans="3:19" ht="12.5">
      <c r="C126" s="231"/>
      <c r="D126" s="239"/>
      <c r="E126" s="231"/>
      <c r="F126" s="231"/>
      <c r="G126" s="231"/>
      <c r="H126" s="231"/>
      <c r="I126" s="240"/>
      <c r="J126" s="231"/>
      <c r="K126" s="241"/>
      <c r="L126" s="231"/>
      <c r="M126" s="231"/>
      <c r="N126" s="231"/>
      <c r="O126" s="231"/>
      <c r="P126" s="231"/>
      <c r="Q126" s="241"/>
      <c r="R126" s="629">
        <v>1228403478</v>
      </c>
      <c r="S126" s="358" t="s">
        <v>38</v>
      </c>
    </row>
    <row r="127" spans="3:19" ht="12.5">
      <c r="C127" s="231"/>
      <c r="D127" s="239"/>
      <c r="E127" s="231"/>
      <c r="F127" s="231"/>
      <c r="G127" s="231"/>
      <c r="H127" s="231"/>
      <c r="I127" s="240"/>
      <c r="J127" s="231"/>
      <c r="K127" s="241"/>
      <c r="L127" s="231"/>
      <c r="M127" s="231"/>
      <c r="N127" s="231"/>
      <c r="O127" s="231"/>
      <c r="P127" s="231"/>
      <c r="Q127" s="241"/>
      <c r="R127" s="410">
        <v>1185405431.0769231</v>
      </c>
      <c r="S127" s="366" t="s">
        <v>360</v>
      </c>
    </row>
    <row r="128" spans="3:19" ht="13" thickBot="1">
      <c r="C128" s="231"/>
      <c r="D128" s="239"/>
      <c r="E128" s="231"/>
      <c r="F128" s="231"/>
      <c r="G128" s="231"/>
      <c r="H128" s="231"/>
      <c r="I128" s="240"/>
      <c r="J128" s="231"/>
      <c r="K128" s="241"/>
      <c r="L128" s="231"/>
      <c r="M128" s="231"/>
      <c r="N128" s="231"/>
      <c r="O128" s="231"/>
      <c r="P128" s="231"/>
      <c r="Q128" s="241"/>
      <c r="R128" s="411">
        <v>31701204</v>
      </c>
      <c r="S128" s="368" t="s">
        <v>359</v>
      </c>
    </row>
    <row r="129" spans="3:19" ht="12.5">
      <c r="C129" s="231"/>
      <c r="D129" s="239"/>
      <c r="E129" s="231"/>
      <c r="F129" s="231"/>
      <c r="G129" s="231"/>
      <c r="H129" s="231"/>
      <c r="I129" s="240"/>
      <c r="J129" s="231"/>
      <c r="K129" s="241"/>
      <c r="L129" s="231"/>
      <c r="M129" s="231"/>
      <c r="N129" s="231"/>
      <c r="O129" s="231"/>
      <c r="P129" s="231"/>
      <c r="Q129" s="241"/>
      <c r="R129" s="231"/>
      <c r="S129" s="231"/>
    </row>
    <row r="130" spans="3:19" ht="13">
      <c r="C130" s="231"/>
      <c r="D130" s="239"/>
      <c r="E130" s="231"/>
      <c r="F130" s="231"/>
      <c r="G130" s="231"/>
      <c r="H130" s="231"/>
      <c r="I130" s="240"/>
      <c r="J130" s="231"/>
      <c r="K130" s="241"/>
      <c r="L130" s="231"/>
      <c r="M130" s="231"/>
      <c r="N130" s="231"/>
      <c r="O130" s="231"/>
      <c r="P130" s="231"/>
      <c r="Q130" s="241"/>
      <c r="R130" s="348" t="s">
        <v>116</v>
      </c>
      <c r="S130" s="231" t="s">
        <v>130</v>
      </c>
    </row>
    <row r="131" spans="3:19" ht="13.5" thickBot="1">
      <c r="C131" s="231"/>
      <c r="D131" s="239"/>
      <c r="E131" s="231"/>
      <c r="F131" s="231"/>
      <c r="G131" s="231"/>
      <c r="H131" s="231"/>
      <c r="I131" s="240"/>
      <c r="J131" s="231"/>
      <c r="K131" s="241"/>
      <c r="L131" s="231"/>
      <c r="M131" s="231"/>
      <c r="N131" s="231"/>
      <c r="O131" s="231"/>
      <c r="P131" s="231"/>
      <c r="Q131" s="241"/>
      <c r="R131" s="349" t="s">
        <v>134</v>
      </c>
      <c r="S131" s="231"/>
    </row>
    <row r="132" spans="3:19" ht="12.5">
      <c r="C132" s="231"/>
      <c r="D132" s="239"/>
      <c r="E132" s="231"/>
      <c r="F132" s="231"/>
      <c r="G132" s="231"/>
      <c r="H132" s="231"/>
      <c r="I132" s="240"/>
      <c r="J132" s="231"/>
      <c r="K132" s="241"/>
      <c r="L132" s="231"/>
      <c r="M132" s="231"/>
      <c r="N132" s="231"/>
      <c r="O132" s="231"/>
      <c r="P132" s="231"/>
      <c r="Q132" s="241"/>
      <c r="R132" s="369">
        <f>+N17</f>
        <v>8837545.4268044475</v>
      </c>
      <c r="S132" s="148" t="s">
        <v>136</v>
      </c>
    </row>
    <row r="133" spans="3:19" ht="12.5">
      <c r="C133" s="231"/>
      <c r="D133" s="239"/>
      <c r="E133" s="231"/>
      <c r="F133" s="231"/>
      <c r="G133" s="231"/>
      <c r="H133" s="231"/>
      <c r="I133" s="240"/>
      <c r="J133" s="231"/>
      <c r="K133" s="241"/>
      <c r="L133" s="231"/>
      <c r="M133" s="231"/>
      <c r="N133" s="231"/>
      <c r="O133" s="231"/>
      <c r="P133" s="231"/>
      <c r="Q133" s="241"/>
      <c r="R133" s="370">
        <f>+O17</f>
        <v>8837545.4268044475</v>
      </c>
      <c r="S133" s="148" t="s">
        <v>137</v>
      </c>
    </row>
    <row r="134" spans="3:19" ht="12.5">
      <c r="C134" s="231"/>
      <c r="D134" s="239"/>
      <c r="E134" s="231"/>
      <c r="F134" s="231"/>
      <c r="G134" s="231"/>
      <c r="H134" s="231"/>
      <c r="I134" s="240"/>
      <c r="J134" s="231"/>
      <c r="K134" s="241"/>
      <c r="L134" s="231"/>
      <c r="M134" s="231"/>
      <c r="N134" s="231"/>
      <c r="O134" s="231"/>
      <c r="P134" s="231"/>
      <c r="Q134" s="241"/>
      <c r="R134" s="412">
        <f>+N18</f>
        <v>8580569.4091968853</v>
      </c>
      <c r="S134" s="148" t="s">
        <v>138</v>
      </c>
    </row>
    <row r="135" spans="3:19" ht="13" thickBot="1">
      <c r="C135" s="231"/>
      <c r="D135" s="239"/>
      <c r="E135" s="231"/>
      <c r="F135" s="231"/>
      <c r="G135" s="231"/>
      <c r="H135" s="231"/>
      <c r="I135" s="240"/>
      <c r="J135" s="231"/>
      <c r="K135" s="241"/>
      <c r="L135" s="231"/>
      <c r="M135" s="231"/>
      <c r="N135" s="231"/>
      <c r="O135" s="231"/>
      <c r="P135" s="231"/>
      <c r="Q135" s="241"/>
      <c r="R135" s="371">
        <f>+O18</f>
        <v>8580569.4091968853</v>
      </c>
      <c r="S135" s="148" t="s">
        <v>139</v>
      </c>
    </row>
    <row r="136" spans="3:19" ht="12.75" customHeight="1">
      <c r="R136" s="231"/>
      <c r="S136" s="231"/>
    </row>
    <row r="137" spans="3:19" ht="12.75" customHeight="1">
      <c r="R137" s="348" t="s">
        <v>128</v>
      </c>
      <c r="S137" s="232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62"/>
  <sheetViews>
    <sheetView topLeftCell="A59" zoomScale="85" zoomScaleNormal="85" workbookViewId="0">
      <selection activeCell="D92" sqref="D9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27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685298.8633650993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685298.8633650993</v>
      </c>
      <c r="O6" s="231"/>
      <c r="P6" s="231"/>
    </row>
    <row r="7" spans="1:16" ht="13.5" thickBot="1">
      <c r="C7" s="429" t="s">
        <v>46</v>
      </c>
      <c r="D7" s="614" t="s">
        <v>328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330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5058588.62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2019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3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129707.40051282052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2019</v>
      </c>
      <c r="D17" s="618">
        <v>0</v>
      </c>
      <c r="E17" s="619">
        <v>0</v>
      </c>
      <c r="F17" s="620">
        <v>4120000</v>
      </c>
      <c r="G17" s="619">
        <v>230012.66047295602</v>
      </c>
      <c r="H17" s="621">
        <v>230012.66047295602</v>
      </c>
      <c r="I17" s="473">
        <f>H17-G17</f>
        <v>0</v>
      </c>
      <c r="J17" s="473"/>
      <c r="K17" s="552">
        <f>+G17</f>
        <v>230012.66047295602</v>
      </c>
      <c r="L17" s="475">
        <f t="shared" ref="L17:L18" si="0">IF(K17&lt;&gt;0,+G17-K17,0)</f>
        <v>0</v>
      </c>
      <c r="M17" s="552">
        <f>+H17</f>
        <v>230012.66047295602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2020</v>
      </c>
      <c r="D18" s="622">
        <v>4236000</v>
      </c>
      <c r="E18" s="623">
        <v>100857.14285714286</v>
      </c>
      <c r="F18" s="622">
        <v>4135142.8571428573</v>
      </c>
      <c r="G18" s="623">
        <v>552918.85124067403</v>
      </c>
      <c r="H18" s="624">
        <v>552918.85124067403</v>
      </c>
      <c r="I18" s="473">
        <f>H18-G18</f>
        <v>0</v>
      </c>
      <c r="J18" s="473"/>
      <c r="K18" s="476">
        <f>+G18</f>
        <v>552918.85124067403</v>
      </c>
      <c r="L18" s="476">
        <f t="shared" si="0"/>
        <v>0</v>
      </c>
      <c r="M18" s="476">
        <f>+H18</f>
        <v>552918.85124067403</v>
      </c>
      <c r="N18" s="476">
        <f t="shared" si="1"/>
        <v>0</v>
      </c>
      <c r="O18" s="476">
        <f t="shared" si="2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2021</v>
      </c>
      <c r="D19" s="622">
        <v>4957664.8571428573</v>
      </c>
      <c r="E19" s="623">
        <v>117640.04651162791</v>
      </c>
      <c r="F19" s="622">
        <v>4840024.8106312295</v>
      </c>
      <c r="G19" s="623">
        <v>645841.5888943586</v>
      </c>
      <c r="H19" s="624">
        <v>645841.5888943586</v>
      </c>
      <c r="I19" s="473">
        <f t="shared" ref="I19:I71" si="3">H19-G19</f>
        <v>0</v>
      </c>
      <c r="J19" s="473"/>
      <c r="K19" s="476">
        <f>+G19</f>
        <v>645841.5888943586</v>
      </c>
      <c r="L19" s="476">
        <f t="shared" ref="L19" si="4">IF(K19&lt;&gt;0,+G19-K19,0)</f>
        <v>0</v>
      </c>
      <c r="M19" s="476">
        <f>+H19</f>
        <v>645841.5888943586</v>
      </c>
      <c r="N19" s="476">
        <f t="shared" si="1"/>
        <v>0</v>
      </c>
      <c r="O19" s="476">
        <f t="shared" si="2"/>
        <v>0</v>
      </c>
      <c r="P19" s="241"/>
    </row>
    <row r="20" spans="2:16" ht="12.5">
      <c r="B20" s="160" t="str">
        <f t="shared" ref="B20:B72" si="5">IF(D20=F19,"","IU")</f>
        <v>IU</v>
      </c>
      <c r="C20" s="470">
        <f>IF(D11="","-",+C19+1)</f>
        <v>2022</v>
      </c>
      <c r="D20" s="622">
        <v>4840091.8106312295</v>
      </c>
      <c r="E20" s="623">
        <v>120442.59523809524</v>
      </c>
      <c r="F20" s="622">
        <v>4719649.2153931344</v>
      </c>
      <c r="G20" s="623">
        <v>635766.39004328649</v>
      </c>
      <c r="H20" s="624">
        <v>635766.39004328649</v>
      </c>
      <c r="I20" s="473">
        <f t="shared" si="3"/>
        <v>0</v>
      </c>
      <c r="J20" s="473"/>
      <c r="K20" s="476">
        <f>+G20</f>
        <v>635766.39004328649</v>
      </c>
      <c r="L20" s="476">
        <f t="shared" ref="L20" si="6">IF(K20&lt;&gt;0,+G20-K20,0)</f>
        <v>0</v>
      </c>
      <c r="M20" s="476">
        <f>+H20</f>
        <v>635766.39004328649</v>
      </c>
      <c r="N20" s="476">
        <f t="shared" si="1"/>
        <v>0</v>
      </c>
      <c r="O20" s="476">
        <f t="shared" si="2"/>
        <v>0</v>
      </c>
      <c r="P20" s="241"/>
    </row>
    <row r="21" spans="2:16" ht="12.5">
      <c r="B21" s="160" t="str">
        <f t="shared" si="5"/>
        <v>IU</v>
      </c>
      <c r="C21" s="470">
        <f>IF(D11="","-",+C20+1)</f>
        <v>2023</v>
      </c>
      <c r="D21" s="622">
        <v>4719648.8353931345</v>
      </c>
      <c r="E21" s="623">
        <v>129707.40051282052</v>
      </c>
      <c r="F21" s="622">
        <v>4589941.4348803144</v>
      </c>
      <c r="G21" s="623">
        <v>685298.8633650993</v>
      </c>
      <c r="H21" s="624">
        <v>685298.8633650993</v>
      </c>
      <c r="I21" s="473">
        <f t="shared" si="3"/>
        <v>0</v>
      </c>
      <c r="J21" s="473"/>
      <c r="K21" s="476">
        <f>+G21</f>
        <v>685298.8633650993</v>
      </c>
      <c r="L21" s="476">
        <f t="shared" ref="L21" si="7">IF(K21&lt;&gt;0,+G21-K21,0)</f>
        <v>0</v>
      </c>
      <c r="M21" s="476">
        <f>+H21</f>
        <v>685298.8633650993</v>
      </c>
      <c r="N21" s="476">
        <f t="shared" si="1"/>
        <v>0</v>
      </c>
      <c r="O21" s="476">
        <f t="shared" si="2"/>
        <v>0</v>
      </c>
      <c r="P21" s="241"/>
    </row>
    <row r="22" spans="2:16" ht="12.5">
      <c r="B22" s="160" t="str">
        <f t="shared" si="5"/>
        <v/>
      </c>
      <c r="C22" s="470">
        <f>IF(D11="","-",+C21+1)</f>
        <v>2024</v>
      </c>
      <c r="D22" s="481">
        <f>IF(F21+SUM(E$17:E21)=D$10,F21,D$10-SUM(E$17:E21))</f>
        <v>4589941.4348803144</v>
      </c>
      <c r="E22" s="482">
        <f t="shared" ref="E22:E71" si="8">IF(+I$14&lt;F21,I$14,D22)</f>
        <v>129707.40051282052</v>
      </c>
      <c r="F22" s="483">
        <f t="shared" ref="F22:F71" si="9">+D22-E22</f>
        <v>4460234.0343674943</v>
      </c>
      <c r="G22" s="484">
        <f t="shared" ref="G22:G71" si="10">(D22+F22)/2*I$12+E22</f>
        <v>669817.12414746825</v>
      </c>
      <c r="H22" s="453">
        <f t="shared" ref="H22:H71" si="11">+(D22+F22)/2*I$13+E22</f>
        <v>669817.12414746825</v>
      </c>
      <c r="I22" s="473">
        <f t="shared" si="3"/>
        <v>0</v>
      </c>
      <c r="J22" s="473"/>
      <c r="K22" s="485"/>
      <c r="L22" s="476">
        <f t="shared" ref="L22:L72" si="12">IF(K22&lt;&gt;0,+G22-K22,0)</f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 ht="12.5">
      <c r="B23" s="160" t="str">
        <f t="shared" si="5"/>
        <v/>
      </c>
      <c r="C23" s="470">
        <f>IF(D11="","-",+C22+1)</f>
        <v>2025</v>
      </c>
      <c r="D23" s="481">
        <f>IF(F22+SUM(E$17:E22)=D$10,F22,D$10-SUM(E$17:E22))</f>
        <v>4460234.0343674943</v>
      </c>
      <c r="E23" s="482">
        <f t="shared" si="8"/>
        <v>129707.40051282052</v>
      </c>
      <c r="F23" s="483">
        <f t="shared" si="9"/>
        <v>4330526.6338546742</v>
      </c>
      <c r="G23" s="484">
        <f t="shared" si="10"/>
        <v>654335.38492983719</v>
      </c>
      <c r="H23" s="453">
        <f t="shared" si="11"/>
        <v>654335.38492983719</v>
      </c>
      <c r="I23" s="473">
        <f t="shared" si="3"/>
        <v>0</v>
      </c>
      <c r="J23" s="473"/>
      <c r="K23" s="485"/>
      <c r="L23" s="476">
        <f t="shared" si="12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 ht="12.5">
      <c r="B24" s="160" t="str">
        <f t="shared" si="5"/>
        <v/>
      </c>
      <c r="C24" s="470">
        <f>IF(D11="","-",+C23+1)</f>
        <v>2026</v>
      </c>
      <c r="D24" s="481">
        <f>IF(F23+SUM(E$17:E23)=D$10,F23,D$10-SUM(E$17:E23))</f>
        <v>4330526.6338546742</v>
      </c>
      <c r="E24" s="482">
        <f t="shared" si="8"/>
        <v>129707.40051282052</v>
      </c>
      <c r="F24" s="483">
        <f t="shared" si="9"/>
        <v>4200819.2333418541</v>
      </c>
      <c r="G24" s="484">
        <f t="shared" si="10"/>
        <v>638853.64571220626</v>
      </c>
      <c r="H24" s="453">
        <f t="shared" si="11"/>
        <v>638853.64571220626</v>
      </c>
      <c r="I24" s="473">
        <f t="shared" si="3"/>
        <v>0</v>
      </c>
      <c r="J24" s="473"/>
      <c r="K24" s="485"/>
      <c r="L24" s="476">
        <f t="shared" si="12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 ht="12.5">
      <c r="B25" s="160" t="str">
        <f t="shared" si="5"/>
        <v/>
      </c>
      <c r="C25" s="470">
        <f>IF(D11="","-",+C24+1)</f>
        <v>2027</v>
      </c>
      <c r="D25" s="481">
        <f>IF(F24+SUM(E$17:E24)=D$10,F24,D$10-SUM(E$17:E24))</f>
        <v>4200819.2333418541</v>
      </c>
      <c r="E25" s="482">
        <f t="shared" si="8"/>
        <v>129707.40051282052</v>
      </c>
      <c r="F25" s="483">
        <f t="shared" si="9"/>
        <v>4071111.8328290335</v>
      </c>
      <c r="G25" s="484">
        <f t="shared" si="10"/>
        <v>623371.90649457532</v>
      </c>
      <c r="H25" s="453">
        <f t="shared" si="11"/>
        <v>623371.90649457532</v>
      </c>
      <c r="I25" s="473">
        <f t="shared" si="3"/>
        <v>0</v>
      </c>
      <c r="J25" s="473"/>
      <c r="K25" s="485"/>
      <c r="L25" s="476">
        <f t="shared" si="12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 ht="12.5">
      <c r="B26" s="160" t="str">
        <f t="shared" si="5"/>
        <v/>
      </c>
      <c r="C26" s="470">
        <f>IF(D11="","-",+C25+1)</f>
        <v>2028</v>
      </c>
      <c r="D26" s="481">
        <f>IF(F25+SUM(E$17:E25)=D$10,F25,D$10-SUM(E$17:E25))</f>
        <v>4071111.8328290335</v>
      </c>
      <c r="E26" s="482">
        <f t="shared" si="8"/>
        <v>129707.40051282052</v>
      </c>
      <c r="F26" s="483">
        <f t="shared" si="9"/>
        <v>3941404.4323162129</v>
      </c>
      <c r="G26" s="484">
        <f t="shared" si="10"/>
        <v>607890.16727694427</v>
      </c>
      <c r="H26" s="453">
        <f t="shared" si="11"/>
        <v>607890.16727694427</v>
      </c>
      <c r="I26" s="473">
        <f t="shared" si="3"/>
        <v>0</v>
      </c>
      <c r="J26" s="473"/>
      <c r="K26" s="485"/>
      <c r="L26" s="476">
        <f t="shared" si="12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 ht="12.5">
      <c r="B27" s="160" t="str">
        <f t="shared" si="5"/>
        <v/>
      </c>
      <c r="C27" s="470">
        <f>IF(D11="","-",+C26+1)</f>
        <v>2029</v>
      </c>
      <c r="D27" s="481">
        <f>IF(F26+SUM(E$17:E26)=D$10,F26,D$10-SUM(E$17:E26))</f>
        <v>3941404.4323162129</v>
      </c>
      <c r="E27" s="482">
        <f t="shared" si="8"/>
        <v>129707.40051282052</v>
      </c>
      <c r="F27" s="483">
        <f t="shared" si="9"/>
        <v>3811697.0318033923</v>
      </c>
      <c r="G27" s="484">
        <f t="shared" si="10"/>
        <v>592408.42805931321</v>
      </c>
      <c r="H27" s="453">
        <f t="shared" si="11"/>
        <v>592408.42805931321</v>
      </c>
      <c r="I27" s="473">
        <f t="shared" si="3"/>
        <v>0</v>
      </c>
      <c r="J27" s="473"/>
      <c r="K27" s="485"/>
      <c r="L27" s="476">
        <f t="shared" si="12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 ht="12.5">
      <c r="B28" s="160" t="str">
        <f t="shared" si="5"/>
        <v/>
      </c>
      <c r="C28" s="470">
        <f>IF(D11="","-",+C27+1)</f>
        <v>2030</v>
      </c>
      <c r="D28" s="481">
        <f>IF(F27+SUM(E$17:E27)=D$10,F27,D$10-SUM(E$17:E27))</f>
        <v>3811697.0318033923</v>
      </c>
      <c r="E28" s="482">
        <f t="shared" si="8"/>
        <v>129707.40051282052</v>
      </c>
      <c r="F28" s="483">
        <f t="shared" si="9"/>
        <v>3681989.6312905718</v>
      </c>
      <c r="G28" s="484">
        <f t="shared" si="10"/>
        <v>576926.68884168216</v>
      </c>
      <c r="H28" s="453">
        <f t="shared" si="11"/>
        <v>576926.68884168216</v>
      </c>
      <c r="I28" s="473">
        <f t="shared" si="3"/>
        <v>0</v>
      </c>
      <c r="J28" s="473"/>
      <c r="K28" s="485"/>
      <c r="L28" s="476">
        <f t="shared" si="12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 ht="12.5">
      <c r="B29" s="160" t="str">
        <f t="shared" si="5"/>
        <v/>
      </c>
      <c r="C29" s="470">
        <f>IF(D11="","-",+C28+1)</f>
        <v>2031</v>
      </c>
      <c r="D29" s="481">
        <f>IF(F28+SUM(E$17:E28)=D$10,F28,D$10-SUM(E$17:E28))</f>
        <v>3681989.6312905718</v>
      </c>
      <c r="E29" s="482">
        <f t="shared" si="8"/>
        <v>129707.40051282052</v>
      </c>
      <c r="F29" s="483">
        <f t="shared" si="9"/>
        <v>3552282.2307777512</v>
      </c>
      <c r="G29" s="484">
        <f t="shared" si="10"/>
        <v>561444.94962405111</v>
      </c>
      <c r="H29" s="453">
        <f t="shared" si="11"/>
        <v>561444.94962405111</v>
      </c>
      <c r="I29" s="473">
        <f t="shared" si="3"/>
        <v>0</v>
      </c>
      <c r="J29" s="473"/>
      <c r="K29" s="485"/>
      <c r="L29" s="476">
        <f t="shared" si="12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 ht="12.5">
      <c r="B30" s="160" t="str">
        <f t="shared" si="5"/>
        <v/>
      </c>
      <c r="C30" s="470">
        <f>IF(D11="","-",+C29+1)</f>
        <v>2032</v>
      </c>
      <c r="D30" s="481">
        <f>IF(F29+SUM(E$17:E29)=D$10,F29,D$10-SUM(E$17:E29))</f>
        <v>3552282.2307777512</v>
      </c>
      <c r="E30" s="482">
        <f t="shared" si="8"/>
        <v>129707.40051282052</v>
      </c>
      <c r="F30" s="483">
        <f t="shared" si="9"/>
        <v>3422574.8302649306</v>
      </c>
      <c r="G30" s="484">
        <f t="shared" si="10"/>
        <v>545963.21040642005</v>
      </c>
      <c r="H30" s="453">
        <f t="shared" si="11"/>
        <v>545963.21040642005</v>
      </c>
      <c r="I30" s="473">
        <f t="shared" si="3"/>
        <v>0</v>
      </c>
      <c r="J30" s="473"/>
      <c r="K30" s="485"/>
      <c r="L30" s="476">
        <f t="shared" si="12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 ht="12.5">
      <c r="B31" s="160" t="str">
        <f t="shared" si="5"/>
        <v/>
      </c>
      <c r="C31" s="470">
        <f>IF(D11="","-",+C30+1)</f>
        <v>2033</v>
      </c>
      <c r="D31" s="481">
        <f>IF(F30+SUM(E$17:E30)=D$10,F30,D$10-SUM(E$17:E30))</f>
        <v>3422574.8302649306</v>
      </c>
      <c r="E31" s="482">
        <f t="shared" si="8"/>
        <v>129707.40051282052</v>
      </c>
      <c r="F31" s="483">
        <f t="shared" si="9"/>
        <v>3292867.42975211</v>
      </c>
      <c r="G31" s="484">
        <f t="shared" si="10"/>
        <v>530481.471188789</v>
      </c>
      <c r="H31" s="453">
        <f t="shared" si="11"/>
        <v>530481.471188789</v>
      </c>
      <c r="I31" s="473">
        <f t="shared" si="3"/>
        <v>0</v>
      </c>
      <c r="J31" s="473"/>
      <c r="K31" s="485"/>
      <c r="L31" s="476">
        <f t="shared" si="12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 ht="12.5">
      <c r="B32" s="160" t="str">
        <f t="shared" si="5"/>
        <v/>
      </c>
      <c r="C32" s="470">
        <f>IF(D11="","-",+C31+1)</f>
        <v>2034</v>
      </c>
      <c r="D32" s="481">
        <f>IF(F31+SUM(E$17:E31)=D$10,F31,D$10-SUM(E$17:E31))</f>
        <v>3292867.42975211</v>
      </c>
      <c r="E32" s="482">
        <f t="shared" si="8"/>
        <v>129707.40051282052</v>
      </c>
      <c r="F32" s="483">
        <f t="shared" si="9"/>
        <v>3163160.0292392895</v>
      </c>
      <c r="G32" s="484">
        <f t="shared" si="10"/>
        <v>514999.73197115795</v>
      </c>
      <c r="H32" s="453">
        <f t="shared" si="11"/>
        <v>514999.73197115795</v>
      </c>
      <c r="I32" s="473">
        <f t="shared" si="3"/>
        <v>0</v>
      </c>
      <c r="J32" s="473"/>
      <c r="K32" s="485"/>
      <c r="L32" s="476">
        <f t="shared" si="12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 ht="12.5">
      <c r="B33" s="160" t="str">
        <f t="shared" si="5"/>
        <v/>
      </c>
      <c r="C33" s="470">
        <f>IF(D11="","-",+C32+1)</f>
        <v>2035</v>
      </c>
      <c r="D33" s="481">
        <f>IF(F32+SUM(E$17:E32)=D$10,F32,D$10-SUM(E$17:E32))</f>
        <v>3163160.0292392895</v>
      </c>
      <c r="E33" s="482">
        <f t="shared" si="8"/>
        <v>129707.40051282052</v>
      </c>
      <c r="F33" s="483">
        <f t="shared" si="9"/>
        <v>3033452.6287264689</v>
      </c>
      <c r="G33" s="484">
        <f t="shared" si="10"/>
        <v>499517.99275352701</v>
      </c>
      <c r="H33" s="453">
        <f t="shared" si="11"/>
        <v>499517.99275352701</v>
      </c>
      <c r="I33" s="473">
        <f t="shared" si="3"/>
        <v>0</v>
      </c>
      <c r="J33" s="473"/>
      <c r="K33" s="485"/>
      <c r="L33" s="476">
        <f t="shared" si="12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 ht="12.5">
      <c r="B34" s="160" t="str">
        <f t="shared" si="5"/>
        <v/>
      </c>
      <c r="C34" s="470">
        <f>IF(D11="","-",+C33+1)</f>
        <v>2036</v>
      </c>
      <c r="D34" s="481">
        <f>IF(F33+SUM(E$17:E33)=D$10,F33,D$10-SUM(E$17:E33))</f>
        <v>3033452.6287264689</v>
      </c>
      <c r="E34" s="482">
        <f t="shared" si="8"/>
        <v>129707.40051282052</v>
      </c>
      <c r="F34" s="483">
        <f t="shared" si="9"/>
        <v>2903745.2282136483</v>
      </c>
      <c r="G34" s="484">
        <f t="shared" si="10"/>
        <v>484036.2535358959</v>
      </c>
      <c r="H34" s="453">
        <f t="shared" si="11"/>
        <v>484036.2535358959</v>
      </c>
      <c r="I34" s="473">
        <f t="shared" si="3"/>
        <v>0</v>
      </c>
      <c r="J34" s="473"/>
      <c r="K34" s="485"/>
      <c r="L34" s="476">
        <f t="shared" si="12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 ht="12.5">
      <c r="B35" s="160" t="str">
        <f t="shared" si="5"/>
        <v/>
      </c>
      <c r="C35" s="470">
        <f>IF(D11="","-",+C34+1)</f>
        <v>2037</v>
      </c>
      <c r="D35" s="481">
        <f>IF(F34+SUM(E$17:E34)=D$10,F34,D$10-SUM(E$17:E34))</f>
        <v>2903745.2282136483</v>
      </c>
      <c r="E35" s="482">
        <f t="shared" si="8"/>
        <v>129707.40051282052</v>
      </c>
      <c r="F35" s="483">
        <f t="shared" si="9"/>
        <v>2774037.8277008277</v>
      </c>
      <c r="G35" s="484">
        <f t="shared" si="10"/>
        <v>468554.5143182649</v>
      </c>
      <c r="H35" s="453">
        <f t="shared" si="11"/>
        <v>468554.5143182649</v>
      </c>
      <c r="I35" s="473">
        <f t="shared" si="3"/>
        <v>0</v>
      </c>
      <c r="J35" s="473"/>
      <c r="K35" s="485"/>
      <c r="L35" s="476">
        <f t="shared" si="12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 ht="12.5">
      <c r="B36" s="160" t="str">
        <f t="shared" si="5"/>
        <v/>
      </c>
      <c r="C36" s="470">
        <f>IF(D11="","-",+C35+1)</f>
        <v>2038</v>
      </c>
      <c r="D36" s="481">
        <f>IF(F35+SUM(E$17:E35)=D$10,F35,D$10-SUM(E$17:E35))</f>
        <v>2774037.8277008277</v>
      </c>
      <c r="E36" s="482">
        <f t="shared" si="8"/>
        <v>129707.40051282052</v>
      </c>
      <c r="F36" s="483">
        <f t="shared" si="9"/>
        <v>2644330.4271880072</v>
      </c>
      <c r="G36" s="484">
        <f t="shared" si="10"/>
        <v>453072.77510063379</v>
      </c>
      <c r="H36" s="453">
        <f t="shared" si="11"/>
        <v>453072.77510063379</v>
      </c>
      <c r="I36" s="473">
        <f t="shared" si="3"/>
        <v>0</v>
      </c>
      <c r="J36" s="473"/>
      <c r="K36" s="485"/>
      <c r="L36" s="476">
        <f t="shared" si="12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 ht="12.5">
      <c r="B37" s="160" t="str">
        <f t="shared" si="5"/>
        <v/>
      </c>
      <c r="C37" s="470">
        <f>IF(D11="","-",+C36+1)</f>
        <v>2039</v>
      </c>
      <c r="D37" s="481">
        <f>IF(F36+SUM(E$17:E36)=D$10,F36,D$10-SUM(E$17:E36))</f>
        <v>2644330.4271880072</v>
      </c>
      <c r="E37" s="482">
        <f t="shared" si="8"/>
        <v>129707.40051282052</v>
      </c>
      <c r="F37" s="483">
        <f t="shared" si="9"/>
        <v>2514623.0266751866</v>
      </c>
      <c r="G37" s="484">
        <f t="shared" si="10"/>
        <v>437591.03588300286</v>
      </c>
      <c r="H37" s="453">
        <f t="shared" si="11"/>
        <v>437591.03588300286</v>
      </c>
      <c r="I37" s="473">
        <f t="shared" si="3"/>
        <v>0</v>
      </c>
      <c r="J37" s="473"/>
      <c r="K37" s="485"/>
      <c r="L37" s="476">
        <f t="shared" si="12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 ht="12.5">
      <c r="B38" s="160" t="str">
        <f t="shared" si="5"/>
        <v/>
      </c>
      <c r="C38" s="470">
        <f>IF(D11="","-",+C37+1)</f>
        <v>2040</v>
      </c>
      <c r="D38" s="481">
        <f>IF(F37+SUM(E$17:E37)=D$10,F37,D$10-SUM(E$17:E37))</f>
        <v>2514623.0266751866</v>
      </c>
      <c r="E38" s="482">
        <f t="shared" si="8"/>
        <v>129707.40051282052</v>
      </c>
      <c r="F38" s="483">
        <f t="shared" si="9"/>
        <v>2384915.626162366</v>
      </c>
      <c r="G38" s="484">
        <f t="shared" si="10"/>
        <v>422109.29666537174</v>
      </c>
      <c r="H38" s="453">
        <f t="shared" si="11"/>
        <v>422109.29666537174</v>
      </c>
      <c r="I38" s="473">
        <f t="shared" si="3"/>
        <v>0</v>
      </c>
      <c r="J38" s="473"/>
      <c r="K38" s="485"/>
      <c r="L38" s="476">
        <f t="shared" si="12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 ht="12.5">
      <c r="B39" s="160" t="str">
        <f t="shared" si="5"/>
        <v/>
      </c>
      <c r="C39" s="470">
        <f>IF(D11="","-",+C38+1)</f>
        <v>2041</v>
      </c>
      <c r="D39" s="481">
        <f>IF(F38+SUM(E$17:E38)=D$10,F38,D$10-SUM(E$17:E38))</f>
        <v>2384915.626162366</v>
      </c>
      <c r="E39" s="482">
        <f t="shared" si="8"/>
        <v>129707.40051282052</v>
      </c>
      <c r="F39" s="483">
        <f t="shared" si="9"/>
        <v>2255208.2256495454</v>
      </c>
      <c r="G39" s="484">
        <f t="shared" si="10"/>
        <v>406627.55744774075</v>
      </c>
      <c r="H39" s="453">
        <f t="shared" si="11"/>
        <v>406627.55744774075</v>
      </c>
      <c r="I39" s="473">
        <f t="shared" si="3"/>
        <v>0</v>
      </c>
      <c r="J39" s="473"/>
      <c r="K39" s="485"/>
      <c r="L39" s="476">
        <f t="shared" si="12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 ht="12.5">
      <c r="B40" s="160" t="str">
        <f t="shared" si="5"/>
        <v/>
      </c>
      <c r="C40" s="470">
        <f>IF(D11="","-",+C39+1)</f>
        <v>2042</v>
      </c>
      <c r="D40" s="481">
        <f>IF(F39+SUM(E$17:E39)=D$10,F39,D$10-SUM(E$17:E39))</f>
        <v>2255208.2256495454</v>
      </c>
      <c r="E40" s="482">
        <f t="shared" si="8"/>
        <v>129707.40051282052</v>
      </c>
      <c r="F40" s="483">
        <f t="shared" si="9"/>
        <v>2125500.8251367249</v>
      </c>
      <c r="G40" s="484">
        <f t="shared" si="10"/>
        <v>391145.81823010964</v>
      </c>
      <c r="H40" s="453">
        <f t="shared" si="11"/>
        <v>391145.81823010964</v>
      </c>
      <c r="I40" s="473">
        <f t="shared" si="3"/>
        <v>0</v>
      </c>
      <c r="J40" s="473"/>
      <c r="K40" s="485"/>
      <c r="L40" s="476">
        <f t="shared" si="12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 ht="12.5">
      <c r="B41" s="160" t="str">
        <f t="shared" si="5"/>
        <v/>
      </c>
      <c r="C41" s="470">
        <f>IF(D11="","-",+C40+1)</f>
        <v>2043</v>
      </c>
      <c r="D41" s="481">
        <f>IF(F40+SUM(E$17:E40)=D$10,F40,D$10-SUM(E$17:E40))</f>
        <v>2125500.8251367249</v>
      </c>
      <c r="E41" s="482">
        <f t="shared" si="8"/>
        <v>129707.40051282052</v>
      </c>
      <c r="F41" s="483">
        <f t="shared" si="9"/>
        <v>1995793.4246239043</v>
      </c>
      <c r="G41" s="484">
        <f t="shared" si="10"/>
        <v>375664.0790124787</v>
      </c>
      <c r="H41" s="453">
        <f t="shared" si="11"/>
        <v>375664.0790124787</v>
      </c>
      <c r="I41" s="473">
        <f t="shared" si="3"/>
        <v>0</v>
      </c>
      <c r="J41" s="473"/>
      <c r="K41" s="485"/>
      <c r="L41" s="476">
        <f t="shared" si="12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 ht="12.5">
      <c r="B42" s="160" t="str">
        <f t="shared" si="5"/>
        <v/>
      </c>
      <c r="C42" s="470">
        <f>IF(D11="","-",+C41+1)</f>
        <v>2044</v>
      </c>
      <c r="D42" s="481">
        <f>IF(F41+SUM(E$17:E41)=D$10,F41,D$10-SUM(E$17:E41))</f>
        <v>1995793.4246239043</v>
      </c>
      <c r="E42" s="482">
        <f t="shared" si="8"/>
        <v>129707.40051282052</v>
      </c>
      <c r="F42" s="483">
        <f t="shared" si="9"/>
        <v>1866086.0241110837</v>
      </c>
      <c r="G42" s="484">
        <f t="shared" si="10"/>
        <v>360182.33979484765</v>
      </c>
      <c r="H42" s="453">
        <f t="shared" si="11"/>
        <v>360182.33979484765</v>
      </c>
      <c r="I42" s="473">
        <f t="shared" si="3"/>
        <v>0</v>
      </c>
      <c r="J42" s="473"/>
      <c r="K42" s="485"/>
      <c r="L42" s="476">
        <f t="shared" si="12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 ht="12.5">
      <c r="B43" s="160" t="str">
        <f t="shared" si="5"/>
        <v/>
      </c>
      <c r="C43" s="470">
        <f>IF(D11="","-",+C42+1)</f>
        <v>2045</v>
      </c>
      <c r="D43" s="481">
        <f>IF(F42+SUM(E$17:E42)=D$10,F42,D$10-SUM(E$17:E42))</f>
        <v>1866086.0241110837</v>
      </c>
      <c r="E43" s="482">
        <f t="shared" si="8"/>
        <v>129707.40051282052</v>
      </c>
      <c r="F43" s="483">
        <f t="shared" si="9"/>
        <v>1736378.6235982631</v>
      </c>
      <c r="G43" s="484">
        <f t="shared" si="10"/>
        <v>344700.6005772166</v>
      </c>
      <c r="H43" s="453">
        <f t="shared" si="11"/>
        <v>344700.6005772166</v>
      </c>
      <c r="I43" s="473">
        <f t="shared" si="3"/>
        <v>0</v>
      </c>
      <c r="J43" s="473"/>
      <c r="K43" s="485"/>
      <c r="L43" s="476">
        <f t="shared" si="12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 ht="12.5">
      <c r="B44" s="160" t="str">
        <f t="shared" si="5"/>
        <v/>
      </c>
      <c r="C44" s="470">
        <f>IF(D11="","-",+C43+1)</f>
        <v>2046</v>
      </c>
      <c r="D44" s="481">
        <f>IF(F43+SUM(E$17:E43)=D$10,F43,D$10-SUM(E$17:E43))</f>
        <v>1736378.6235982631</v>
      </c>
      <c r="E44" s="482">
        <f t="shared" si="8"/>
        <v>129707.40051282052</v>
      </c>
      <c r="F44" s="483">
        <f t="shared" si="9"/>
        <v>1606671.2230854426</v>
      </c>
      <c r="G44" s="484">
        <f t="shared" si="10"/>
        <v>329218.86135958554</v>
      </c>
      <c r="H44" s="453">
        <f t="shared" si="11"/>
        <v>329218.86135958554</v>
      </c>
      <c r="I44" s="473">
        <f t="shared" si="3"/>
        <v>0</v>
      </c>
      <c r="J44" s="473"/>
      <c r="K44" s="485"/>
      <c r="L44" s="476">
        <f t="shared" si="12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 ht="12.5">
      <c r="B45" s="160" t="str">
        <f t="shared" si="5"/>
        <v/>
      </c>
      <c r="C45" s="470">
        <f>IF(D11="","-",+C44+1)</f>
        <v>2047</v>
      </c>
      <c r="D45" s="481">
        <f>IF(F44+SUM(E$17:E44)=D$10,F44,D$10-SUM(E$17:E44))</f>
        <v>1606671.2230854426</v>
      </c>
      <c r="E45" s="482">
        <f t="shared" si="8"/>
        <v>129707.40051282052</v>
      </c>
      <c r="F45" s="483">
        <f t="shared" si="9"/>
        <v>1476963.822572622</v>
      </c>
      <c r="G45" s="484">
        <f t="shared" si="10"/>
        <v>313737.12214195449</v>
      </c>
      <c r="H45" s="453">
        <f t="shared" si="11"/>
        <v>313737.12214195449</v>
      </c>
      <c r="I45" s="473">
        <f t="shared" si="3"/>
        <v>0</v>
      </c>
      <c r="J45" s="473"/>
      <c r="K45" s="485"/>
      <c r="L45" s="476">
        <f t="shared" si="12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 ht="12.5">
      <c r="B46" s="160" t="str">
        <f t="shared" si="5"/>
        <v/>
      </c>
      <c r="C46" s="470">
        <f>IF(D11="","-",+C45+1)</f>
        <v>2048</v>
      </c>
      <c r="D46" s="481">
        <f>IF(F45+SUM(E$17:E45)=D$10,F45,D$10-SUM(E$17:E45))</f>
        <v>1476963.822572622</v>
      </c>
      <c r="E46" s="482">
        <f t="shared" si="8"/>
        <v>129707.40051282052</v>
      </c>
      <c r="F46" s="483">
        <f t="shared" si="9"/>
        <v>1347256.4220598014</v>
      </c>
      <c r="G46" s="484">
        <f t="shared" si="10"/>
        <v>298255.38292432349</v>
      </c>
      <c r="H46" s="453">
        <f t="shared" si="11"/>
        <v>298255.38292432349</v>
      </c>
      <c r="I46" s="473">
        <f t="shared" si="3"/>
        <v>0</v>
      </c>
      <c r="J46" s="473"/>
      <c r="K46" s="485"/>
      <c r="L46" s="476">
        <f t="shared" si="12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 ht="12.5">
      <c r="B47" s="160" t="str">
        <f t="shared" si="5"/>
        <v/>
      </c>
      <c r="C47" s="470">
        <f>IF(D11="","-",+C46+1)</f>
        <v>2049</v>
      </c>
      <c r="D47" s="481">
        <f>IF(F46+SUM(E$17:E46)=D$10,F46,D$10-SUM(E$17:E46))</f>
        <v>1347256.4220598014</v>
      </c>
      <c r="E47" s="482">
        <f t="shared" si="8"/>
        <v>129707.40051282052</v>
      </c>
      <c r="F47" s="483">
        <f t="shared" si="9"/>
        <v>1217549.0215469808</v>
      </c>
      <c r="G47" s="484">
        <f t="shared" si="10"/>
        <v>282773.64370669244</v>
      </c>
      <c r="H47" s="453">
        <f t="shared" si="11"/>
        <v>282773.64370669244</v>
      </c>
      <c r="I47" s="473">
        <f t="shared" si="3"/>
        <v>0</v>
      </c>
      <c r="J47" s="473"/>
      <c r="K47" s="485"/>
      <c r="L47" s="476">
        <f t="shared" si="12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 ht="12.5">
      <c r="B48" s="160" t="str">
        <f t="shared" si="5"/>
        <v/>
      </c>
      <c r="C48" s="470">
        <f>IF(D11="","-",+C47+1)</f>
        <v>2050</v>
      </c>
      <c r="D48" s="481">
        <f>IF(F47+SUM(E$17:E47)=D$10,F47,D$10-SUM(E$17:E47))</f>
        <v>1217549.0215469808</v>
      </c>
      <c r="E48" s="482">
        <f t="shared" si="8"/>
        <v>129707.40051282052</v>
      </c>
      <c r="F48" s="483">
        <f t="shared" si="9"/>
        <v>1087841.6210341603</v>
      </c>
      <c r="G48" s="484">
        <f t="shared" si="10"/>
        <v>267291.90448906145</v>
      </c>
      <c r="H48" s="453">
        <f t="shared" si="11"/>
        <v>267291.90448906145</v>
      </c>
      <c r="I48" s="473">
        <f t="shared" si="3"/>
        <v>0</v>
      </c>
      <c r="J48" s="473"/>
      <c r="K48" s="485"/>
      <c r="L48" s="476">
        <f t="shared" si="12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 ht="12.5">
      <c r="B49" s="160" t="str">
        <f t="shared" si="5"/>
        <v/>
      </c>
      <c r="C49" s="470">
        <f>IF(D11="","-",+C48+1)</f>
        <v>2051</v>
      </c>
      <c r="D49" s="481">
        <f>IF(F48+SUM(E$17:E48)=D$10,F48,D$10-SUM(E$17:E48))</f>
        <v>1087841.6210341603</v>
      </c>
      <c r="E49" s="482">
        <f t="shared" si="8"/>
        <v>129707.40051282052</v>
      </c>
      <c r="F49" s="483">
        <f t="shared" si="9"/>
        <v>958134.22052133968</v>
      </c>
      <c r="G49" s="484">
        <f t="shared" si="10"/>
        <v>251810.16527143039</v>
      </c>
      <c r="H49" s="453">
        <f t="shared" si="11"/>
        <v>251810.16527143039</v>
      </c>
      <c r="I49" s="473">
        <f t="shared" si="3"/>
        <v>0</v>
      </c>
      <c r="J49" s="473"/>
      <c r="K49" s="485"/>
      <c r="L49" s="476">
        <f t="shared" si="12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 ht="12.5">
      <c r="B50" s="160" t="str">
        <f t="shared" si="5"/>
        <v/>
      </c>
      <c r="C50" s="470">
        <f>IF(D11="","-",+C49+1)</f>
        <v>2052</v>
      </c>
      <c r="D50" s="481">
        <f>IF(F49+SUM(E$17:E49)=D$10,F49,D$10-SUM(E$17:E49))</f>
        <v>958134.22052133968</v>
      </c>
      <c r="E50" s="482">
        <f t="shared" si="8"/>
        <v>129707.40051282052</v>
      </c>
      <c r="F50" s="483">
        <f t="shared" si="9"/>
        <v>828426.82000851911</v>
      </c>
      <c r="G50" s="484">
        <f t="shared" si="10"/>
        <v>236328.42605379934</v>
      </c>
      <c r="H50" s="453">
        <f t="shared" si="11"/>
        <v>236328.42605379934</v>
      </c>
      <c r="I50" s="473">
        <f t="shared" si="3"/>
        <v>0</v>
      </c>
      <c r="J50" s="473"/>
      <c r="K50" s="485"/>
      <c r="L50" s="476">
        <f t="shared" si="12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 ht="12.5">
      <c r="B51" s="160" t="str">
        <f t="shared" si="5"/>
        <v/>
      </c>
      <c r="C51" s="470">
        <f>IF(D11="","-",+C50+1)</f>
        <v>2053</v>
      </c>
      <c r="D51" s="481">
        <f>IF(F50+SUM(E$17:E50)=D$10,F50,D$10-SUM(E$17:E50))</f>
        <v>828426.82000851911</v>
      </c>
      <c r="E51" s="482">
        <f t="shared" si="8"/>
        <v>129707.40051282052</v>
      </c>
      <c r="F51" s="483">
        <f t="shared" si="9"/>
        <v>698719.41949569853</v>
      </c>
      <c r="G51" s="484">
        <f t="shared" si="10"/>
        <v>220846.68683616829</v>
      </c>
      <c r="H51" s="453">
        <f t="shared" si="11"/>
        <v>220846.68683616829</v>
      </c>
      <c r="I51" s="473">
        <f t="shared" si="3"/>
        <v>0</v>
      </c>
      <c r="J51" s="473"/>
      <c r="K51" s="485"/>
      <c r="L51" s="476">
        <f t="shared" si="12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 ht="12.5">
      <c r="B52" s="160" t="str">
        <f t="shared" si="5"/>
        <v/>
      </c>
      <c r="C52" s="470">
        <f>IF(D11="","-",+C51+1)</f>
        <v>2054</v>
      </c>
      <c r="D52" s="481">
        <f>IF(F51+SUM(E$17:E51)=D$10,F51,D$10-SUM(E$17:E51))</f>
        <v>698719.41949569853</v>
      </c>
      <c r="E52" s="482">
        <f t="shared" si="8"/>
        <v>129707.40051282052</v>
      </c>
      <c r="F52" s="483">
        <f t="shared" si="9"/>
        <v>569012.01898287795</v>
      </c>
      <c r="G52" s="484">
        <f t="shared" si="10"/>
        <v>205364.94761853729</v>
      </c>
      <c r="H52" s="453">
        <f t="shared" si="11"/>
        <v>205364.94761853729</v>
      </c>
      <c r="I52" s="473">
        <f t="shared" si="3"/>
        <v>0</v>
      </c>
      <c r="J52" s="473"/>
      <c r="K52" s="485"/>
      <c r="L52" s="476">
        <f t="shared" si="12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 ht="12.5">
      <c r="B53" s="160" t="str">
        <f t="shared" si="5"/>
        <v/>
      </c>
      <c r="C53" s="470">
        <f>IF(D11="","-",+C52+1)</f>
        <v>2055</v>
      </c>
      <c r="D53" s="481">
        <f>IF(F52+SUM(E$17:E52)=D$10,F52,D$10-SUM(E$17:E52))</f>
        <v>569012.01898287795</v>
      </c>
      <c r="E53" s="482">
        <f t="shared" si="8"/>
        <v>129707.40051282052</v>
      </c>
      <c r="F53" s="483">
        <f t="shared" si="9"/>
        <v>439304.61847005744</v>
      </c>
      <c r="G53" s="484">
        <f t="shared" si="10"/>
        <v>189883.20840090624</v>
      </c>
      <c r="H53" s="453">
        <f t="shared" si="11"/>
        <v>189883.20840090624</v>
      </c>
      <c r="I53" s="473">
        <f t="shared" si="3"/>
        <v>0</v>
      </c>
      <c r="J53" s="473"/>
      <c r="K53" s="485"/>
      <c r="L53" s="476">
        <f t="shared" si="12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 ht="12.5">
      <c r="B54" s="160" t="str">
        <f t="shared" si="5"/>
        <v/>
      </c>
      <c r="C54" s="470">
        <f>IF(D11="","-",+C53+1)</f>
        <v>2056</v>
      </c>
      <c r="D54" s="481">
        <f>IF(F53+SUM(E$17:E53)=D$10,F53,D$10-SUM(E$17:E53))</f>
        <v>439304.61847005744</v>
      </c>
      <c r="E54" s="482">
        <f t="shared" si="8"/>
        <v>129707.40051282052</v>
      </c>
      <c r="F54" s="483">
        <f t="shared" si="9"/>
        <v>309597.21795723692</v>
      </c>
      <c r="G54" s="484">
        <f t="shared" si="10"/>
        <v>174401.46918327521</v>
      </c>
      <c r="H54" s="453">
        <f t="shared" si="11"/>
        <v>174401.46918327521</v>
      </c>
      <c r="I54" s="473">
        <f t="shared" si="3"/>
        <v>0</v>
      </c>
      <c r="J54" s="473"/>
      <c r="K54" s="485"/>
      <c r="L54" s="476">
        <f t="shared" si="12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 ht="12.5">
      <c r="B55" s="160" t="str">
        <f t="shared" si="5"/>
        <v/>
      </c>
      <c r="C55" s="470">
        <f>IF(D11="","-",+C54+1)</f>
        <v>2057</v>
      </c>
      <c r="D55" s="481">
        <f>IF(F54+SUM(E$17:E54)=D$10,F54,D$10-SUM(E$17:E54))</f>
        <v>309597.21795723692</v>
      </c>
      <c r="E55" s="482">
        <f t="shared" si="8"/>
        <v>129707.40051282052</v>
      </c>
      <c r="F55" s="483">
        <f t="shared" si="9"/>
        <v>179889.8174444164</v>
      </c>
      <c r="G55" s="484">
        <f t="shared" si="10"/>
        <v>158919.72996564419</v>
      </c>
      <c r="H55" s="453">
        <f t="shared" si="11"/>
        <v>158919.72996564419</v>
      </c>
      <c r="I55" s="473">
        <f t="shared" si="3"/>
        <v>0</v>
      </c>
      <c r="J55" s="473"/>
      <c r="K55" s="485"/>
      <c r="L55" s="476">
        <f t="shared" si="12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 ht="12.5">
      <c r="B56" s="160" t="str">
        <f t="shared" si="5"/>
        <v/>
      </c>
      <c r="C56" s="470">
        <f>IF(D11="","-",+C55+1)</f>
        <v>2058</v>
      </c>
      <c r="D56" s="481">
        <f>IF(F55+SUM(E$17:E55)=D$10,F55,D$10-SUM(E$17:E55))</f>
        <v>179889.8174444164</v>
      </c>
      <c r="E56" s="482">
        <f t="shared" si="8"/>
        <v>129707.40051282052</v>
      </c>
      <c r="F56" s="483">
        <f t="shared" si="9"/>
        <v>50182.416931595886</v>
      </c>
      <c r="G56" s="484">
        <f t="shared" si="10"/>
        <v>143437.99074801317</v>
      </c>
      <c r="H56" s="453">
        <f t="shared" si="11"/>
        <v>143437.99074801317</v>
      </c>
      <c r="I56" s="473">
        <f t="shared" si="3"/>
        <v>0</v>
      </c>
      <c r="J56" s="473"/>
      <c r="K56" s="485"/>
      <c r="L56" s="476">
        <f t="shared" si="12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 ht="12.5">
      <c r="B57" s="160" t="str">
        <f t="shared" si="5"/>
        <v/>
      </c>
      <c r="C57" s="470">
        <f>IF(D11="","-",+C56+1)</f>
        <v>2059</v>
      </c>
      <c r="D57" s="481">
        <f>IF(F56+SUM(E$17:E56)=D$10,F56,D$10-SUM(E$17:E56))</f>
        <v>50182.416931595886</v>
      </c>
      <c r="E57" s="482">
        <f t="shared" si="8"/>
        <v>50182.416931595886</v>
      </c>
      <c r="F57" s="483">
        <f t="shared" si="9"/>
        <v>0</v>
      </c>
      <c r="G57" s="484">
        <f t="shared" si="10"/>
        <v>53177.277244784447</v>
      </c>
      <c r="H57" s="453">
        <f t="shared" si="11"/>
        <v>53177.277244784447</v>
      </c>
      <c r="I57" s="473">
        <f t="shared" si="3"/>
        <v>0</v>
      </c>
      <c r="J57" s="473"/>
      <c r="K57" s="485"/>
      <c r="L57" s="476">
        <f t="shared" si="12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 ht="12.5">
      <c r="B58" s="160" t="str">
        <f t="shared" si="5"/>
        <v/>
      </c>
      <c r="C58" s="470">
        <f>IF(D11="","-",+C57+1)</f>
        <v>2060</v>
      </c>
      <c r="D58" s="481">
        <f>IF(F57+SUM(E$17:E57)=D$10,F57,D$10-SUM(E$17:E57))</f>
        <v>0</v>
      </c>
      <c r="E58" s="482">
        <f t="shared" si="8"/>
        <v>0</v>
      </c>
      <c r="F58" s="483">
        <f t="shared" si="9"/>
        <v>0</v>
      </c>
      <c r="G58" s="484">
        <f t="shared" si="10"/>
        <v>0</v>
      </c>
      <c r="H58" s="453">
        <f t="shared" si="11"/>
        <v>0</v>
      </c>
      <c r="I58" s="473">
        <f t="shared" si="3"/>
        <v>0</v>
      </c>
      <c r="J58" s="473"/>
      <c r="K58" s="485"/>
      <c r="L58" s="476">
        <f t="shared" si="12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 ht="12.5">
      <c r="B59" s="160" t="str">
        <f t="shared" si="5"/>
        <v/>
      </c>
      <c r="C59" s="470">
        <f>IF(D11="","-",+C58+1)</f>
        <v>2061</v>
      </c>
      <c r="D59" s="481">
        <f>IF(F58+SUM(E$17:E58)=D$10,F58,D$10-SUM(E$17:E58))</f>
        <v>0</v>
      </c>
      <c r="E59" s="482">
        <f t="shared" si="8"/>
        <v>0</v>
      </c>
      <c r="F59" s="483">
        <f t="shared" si="9"/>
        <v>0</v>
      </c>
      <c r="G59" s="484">
        <f t="shared" si="10"/>
        <v>0</v>
      </c>
      <c r="H59" s="453">
        <f t="shared" si="11"/>
        <v>0</v>
      </c>
      <c r="I59" s="473">
        <f t="shared" si="3"/>
        <v>0</v>
      </c>
      <c r="J59" s="473"/>
      <c r="K59" s="485"/>
      <c r="L59" s="476">
        <f t="shared" si="12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 ht="12.5">
      <c r="B60" s="160" t="str">
        <f t="shared" si="5"/>
        <v/>
      </c>
      <c r="C60" s="470">
        <f>IF(D11="","-",+C59+1)</f>
        <v>2062</v>
      </c>
      <c r="D60" s="481">
        <f>IF(F59+SUM(E$17:E59)=D$10,F59,D$10-SUM(E$17:E59))</f>
        <v>0</v>
      </c>
      <c r="E60" s="482">
        <f t="shared" si="8"/>
        <v>0</v>
      </c>
      <c r="F60" s="483">
        <f t="shared" si="9"/>
        <v>0</v>
      </c>
      <c r="G60" s="484">
        <f t="shared" si="10"/>
        <v>0</v>
      </c>
      <c r="H60" s="453">
        <f t="shared" si="11"/>
        <v>0</v>
      </c>
      <c r="I60" s="473">
        <f t="shared" si="3"/>
        <v>0</v>
      </c>
      <c r="J60" s="473"/>
      <c r="K60" s="485"/>
      <c r="L60" s="476">
        <f t="shared" si="12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 ht="12.5">
      <c r="B61" s="160" t="str">
        <f t="shared" si="5"/>
        <v/>
      </c>
      <c r="C61" s="470">
        <f>IF(D11="","-",+C60+1)</f>
        <v>2063</v>
      </c>
      <c r="D61" s="481">
        <f>IF(F60+SUM(E$17:E60)=D$10,F60,D$10-SUM(E$17:E60))</f>
        <v>0</v>
      </c>
      <c r="E61" s="482">
        <f t="shared" si="8"/>
        <v>0</v>
      </c>
      <c r="F61" s="483">
        <f t="shared" si="9"/>
        <v>0</v>
      </c>
      <c r="G61" s="484">
        <f t="shared" si="10"/>
        <v>0</v>
      </c>
      <c r="H61" s="453">
        <f t="shared" si="11"/>
        <v>0</v>
      </c>
      <c r="I61" s="473">
        <f t="shared" si="3"/>
        <v>0</v>
      </c>
      <c r="J61" s="473"/>
      <c r="K61" s="485"/>
      <c r="L61" s="476">
        <f t="shared" si="12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 ht="12.5">
      <c r="B62" s="160" t="str">
        <f t="shared" si="5"/>
        <v/>
      </c>
      <c r="C62" s="470">
        <f>IF(D11="","-",+C61+1)</f>
        <v>2064</v>
      </c>
      <c r="D62" s="481">
        <f>IF(F61+SUM(E$17:E61)=D$10,F61,D$10-SUM(E$17:E61))</f>
        <v>0</v>
      </c>
      <c r="E62" s="482">
        <f t="shared" si="8"/>
        <v>0</v>
      </c>
      <c r="F62" s="483">
        <f t="shared" si="9"/>
        <v>0</v>
      </c>
      <c r="G62" s="484">
        <f t="shared" si="10"/>
        <v>0</v>
      </c>
      <c r="H62" s="453">
        <f t="shared" si="11"/>
        <v>0</v>
      </c>
      <c r="I62" s="473">
        <f t="shared" si="3"/>
        <v>0</v>
      </c>
      <c r="J62" s="473"/>
      <c r="K62" s="485"/>
      <c r="L62" s="476">
        <f t="shared" si="12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 ht="12.5">
      <c r="B63" s="160" t="str">
        <f t="shared" si="5"/>
        <v/>
      </c>
      <c r="C63" s="470">
        <f>IF(D11="","-",+C62+1)</f>
        <v>2065</v>
      </c>
      <c r="D63" s="481">
        <f>IF(F62+SUM(E$17:E62)=D$10,F62,D$10-SUM(E$17:E62))</f>
        <v>0</v>
      </c>
      <c r="E63" s="482">
        <f t="shared" si="8"/>
        <v>0</v>
      </c>
      <c r="F63" s="483">
        <f t="shared" si="9"/>
        <v>0</v>
      </c>
      <c r="G63" s="484">
        <f t="shared" si="10"/>
        <v>0</v>
      </c>
      <c r="H63" s="453">
        <f t="shared" si="11"/>
        <v>0</v>
      </c>
      <c r="I63" s="473">
        <f t="shared" si="3"/>
        <v>0</v>
      </c>
      <c r="J63" s="473"/>
      <c r="K63" s="485"/>
      <c r="L63" s="476">
        <f t="shared" si="12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 ht="12.5">
      <c r="B64" s="160" t="str">
        <f t="shared" si="5"/>
        <v/>
      </c>
      <c r="C64" s="470">
        <f>IF(D11="","-",+C63+1)</f>
        <v>2066</v>
      </c>
      <c r="D64" s="481">
        <f>IF(F63+SUM(E$17:E63)=D$10,F63,D$10-SUM(E$17:E63))</f>
        <v>0</v>
      </c>
      <c r="E64" s="482">
        <f t="shared" si="8"/>
        <v>0</v>
      </c>
      <c r="F64" s="483">
        <f t="shared" si="9"/>
        <v>0</v>
      </c>
      <c r="G64" s="484">
        <f t="shared" si="10"/>
        <v>0</v>
      </c>
      <c r="H64" s="453">
        <f t="shared" si="11"/>
        <v>0</v>
      </c>
      <c r="I64" s="473">
        <f t="shared" si="3"/>
        <v>0</v>
      </c>
      <c r="J64" s="473"/>
      <c r="K64" s="485"/>
      <c r="L64" s="476">
        <f t="shared" si="12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 ht="12.5">
      <c r="B65" s="160" t="str">
        <f t="shared" si="5"/>
        <v/>
      </c>
      <c r="C65" s="470">
        <f>IF(D11="","-",+C64+1)</f>
        <v>2067</v>
      </c>
      <c r="D65" s="481">
        <f>IF(F64+SUM(E$17:E64)=D$10,F64,D$10-SUM(E$17:E64))</f>
        <v>0</v>
      </c>
      <c r="E65" s="482">
        <f t="shared" si="8"/>
        <v>0</v>
      </c>
      <c r="F65" s="483">
        <f t="shared" si="9"/>
        <v>0</v>
      </c>
      <c r="G65" s="484">
        <f t="shared" si="10"/>
        <v>0</v>
      </c>
      <c r="H65" s="453">
        <f t="shared" si="11"/>
        <v>0</v>
      </c>
      <c r="I65" s="473">
        <f t="shared" si="3"/>
        <v>0</v>
      </c>
      <c r="J65" s="473"/>
      <c r="K65" s="485"/>
      <c r="L65" s="476">
        <f t="shared" si="12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 ht="12.5">
      <c r="B66" s="160" t="str">
        <f t="shared" si="5"/>
        <v/>
      </c>
      <c r="C66" s="470">
        <f>IF(D11="","-",+C65+1)</f>
        <v>2068</v>
      </c>
      <c r="D66" s="481">
        <f>IF(F65+SUM(E$17:E65)=D$10,F65,D$10-SUM(E$17:E65))</f>
        <v>0</v>
      </c>
      <c r="E66" s="482">
        <f t="shared" si="8"/>
        <v>0</v>
      </c>
      <c r="F66" s="483">
        <f t="shared" si="9"/>
        <v>0</v>
      </c>
      <c r="G66" s="484">
        <f t="shared" si="10"/>
        <v>0</v>
      </c>
      <c r="H66" s="453">
        <f t="shared" si="11"/>
        <v>0</v>
      </c>
      <c r="I66" s="473">
        <f t="shared" si="3"/>
        <v>0</v>
      </c>
      <c r="J66" s="473"/>
      <c r="K66" s="485"/>
      <c r="L66" s="476">
        <f t="shared" si="12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 ht="12.5">
      <c r="B67" s="160" t="str">
        <f t="shared" si="5"/>
        <v/>
      </c>
      <c r="C67" s="470">
        <f>IF(D11="","-",+C66+1)</f>
        <v>2069</v>
      </c>
      <c r="D67" s="481">
        <f>IF(F66+SUM(E$17:E66)=D$10,F66,D$10-SUM(E$17:E66))</f>
        <v>0</v>
      </c>
      <c r="E67" s="482">
        <f t="shared" si="8"/>
        <v>0</v>
      </c>
      <c r="F67" s="483">
        <f t="shared" si="9"/>
        <v>0</v>
      </c>
      <c r="G67" s="484">
        <f t="shared" si="10"/>
        <v>0</v>
      </c>
      <c r="H67" s="453">
        <f t="shared" si="11"/>
        <v>0</v>
      </c>
      <c r="I67" s="473">
        <f t="shared" si="3"/>
        <v>0</v>
      </c>
      <c r="J67" s="473"/>
      <c r="K67" s="485"/>
      <c r="L67" s="476">
        <f t="shared" si="12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 ht="12.5">
      <c r="B68" s="160" t="str">
        <f t="shared" si="5"/>
        <v/>
      </c>
      <c r="C68" s="470">
        <f>IF(D11="","-",+C67+1)</f>
        <v>2070</v>
      </c>
      <c r="D68" s="481">
        <f>IF(F67+SUM(E$17:E67)=D$10,F67,D$10-SUM(E$17:E67))</f>
        <v>0</v>
      </c>
      <c r="E68" s="482">
        <f t="shared" si="8"/>
        <v>0</v>
      </c>
      <c r="F68" s="483">
        <f t="shared" si="9"/>
        <v>0</v>
      </c>
      <c r="G68" s="484">
        <f t="shared" si="10"/>
        <v>0</v>
      </c>
      <c r="H68" s="453">
        <f t="shared" si="11"/>
        <v>0</v>
      </c>
      <c r="I68" s="473">
        <f t="shared" si="3"/>
        <v>0</v>
      </c>
      <c r="J68" s="473"/>
      <c r="K68" s="485"/>
      <c r="L68" s="476">
        <f t="shared" si="12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 ht="12.5">
      <c r="B69" s="160" t="str">
        <f t="shared" si="5"/>
        <v/>
      </c>
      <c r="C69" s="470">
        <f>IF(D11="","-",+C68+1)</f>
        <v>2071</v>
      </c>
      <c r="D69" s="481">
        <f>IF(F68+SUM(E$17:E68)=D$10,F68,D$10-SUM(E$17:E68))</f>
        <v>0</v>
      </c>
      <c r="E69" s="482">
        <f t="shared" si="8"/>
        <v>0</v>
      </c>
      <c r="F69" s="483">
        <f t="shared" si="9"/>
        <v>0</v>
      </c>
      <c r="G69" s="484">
        <f t="shared" si="10"/>
        <v>0</v>
      </c>
      <c r="H69" s="453">
        <f t="shared" si="11"/>
        <v>0</v>
      </c>
      <c r="I69" s="473">
        <f t="shared" si="3"/>
        <v>0</v>
      </c>
      <c r="J69" s="473"/>
      <c r="K69" s="485"/>
      <c r="L69" s="476">
        <f t="shared" si="12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 ht="12.5">
      <c r="B70" s="160" t="str">
        <f t="shared" si="5"/>
        <v/>
      </c>
      <c r="C70" s="470">
        <f>IF(D11="","-",+C69+1)</f>
        <v>2072</v>
      </c>
      <c r="D70" s="481">
        <f>IF(F69+SUM(E$17:E69)=D$10,F69,D$10-SUM(E$17:E69))</f>
        <v>0</v>
      </c>
      <c r="E70" s="482">
        <f t="shared" si="8"/>
        <v>0</v>
      </c>
      <c r="F70" s="483">
        <f t="shared" si="9"/>
        <v>0</v>
      </c>
      <c r="G70" s="484">
        <f t="shared" si="10"/>
        <v>0</v>
      </c>
      <c r="H70" s="453">
        <f t="shared" si="11"/>
        <v>0</v>
      </c>
      <c r="I70" s="473">
        <f t="shared" si="3"/>
        <v>0</v>
      </c>
      <c r="J70" s="473"/>
      <c r="K70" s="485"/>
      <c r="L70" s="476">
        <f t="shared" si="12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 ht="12.5">
      <c r="B71" s="160" t="str">
        <f t="shared" si="5"/>
        <v/>
      </c>
      <c r="C71" s="470">
        <f>IF(D11="","-",+C70+1)</f>
        <v>2073</v>
      </c>
      <c r="D71" s="481">
        <f>IF(F70+SUM(E$17:E70)=D$10,F70,D$10-SUM(E$17:E70))</f>
        <v>0</v>
      </c>
      <c r="E71" s="482">
        <f t="shared" si="8"/>
        <v>0</v>
      </c>
      <c r="F71" s="483">
        <f t="shared" si="9"/>
        <v>0</v>
      </c>
      <c r="G71" s="484">
        <f t="shared" si="10"/>
        <v>0</v>
      </c>
      <c r="H71" s="453">
        <f t="shared" si="11"/>
        <v>0</v>
      </c>
      <c r="I71" s="473">
        <f t="shared" si="3"/>
        <v>0</v>
      </c>
      <c r="J71" s="473"/>
      <c r="K71" s="485"/>
      <c r="L71" s="476">
        <f t="shared" si="12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" thickBot="1">
      <c r="B72" s="160" t="str">
        <f t="shared" si="5"/>
        <v/>
      </c>
      <c r="C72" s="487">
        <f>IF(D11="","-",+C71+1)</f>
        <v>2074</v>
      </c>
      <c r="D72" s="609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2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 ht="12.5">
      <c r="C73" s="345" t="s">
        <v>77</v>
      </c>
      <c r="D73" s="346"/>
      <c r="E73" s="346">
        <f>SUM(E17:E72)</f>
        <v>5058588.6199999992</v>
      </c>
      <c r="F73" s="346"/>
      <c r="G73" s="346">
        <f>SUM(G17:G72)</f>
        <v>17034980.141932085</v>
      </c>
      <c r="H73" s="346">
        <f>SUM(H17:H72)</f>
        <v>17034980.141932085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27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685298.8633650993</v>
      </c>
      <c r="N87" s="506">
        <f>IF(J92&lt;D11,0,VLOOKUP(J92,C17:O72,11))</f>
        <v>685298.8633650993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651151.17964586476</v>
      </c>
      <c r="N88" s="510">
        <f>IF(J92&lt;D11,0,VLOOKUP(J92,C99:P154,7))</f>
        <v>651151.17964586476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Broken Arrow North-Lynn Lane East 138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-34147.683719234541</v>
      </c>
      <c r="N89" s="515">
        <f>+N88-N87</f>
        <v>-34147.683719234541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TP2017016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5058588.62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2019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3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133121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2019</v>
      </c>
      <c r="D99" s="582">
        <v>0</v>
      </c>
      <c r="E99" s="605">
        <v>92534.25</v>
      </c>
      <c r="F99" s="582">
        <v>4965987.75</v>
      </c>
      <c r="G99" s="605">
        <v>2482993.875</v>
      </c>
      <c r="H99" s="585">
        <v>348565.74518479535</v>
      </c>
      <c r="I99" s="604">
        <v>348565.74518479535</v>
      </c>
      <c r="J99" s="476">
        <f>+I99-H99</f>
        <v>0</v>
      </c>
      <c r="K99" s="476"/>
      <c r="L99" s="475">
        <f>+H99</f>
        <v>348565.74518479535</v>
      </c>
      <c r="M99" s="475">
        <f t="shared" ref="M99" si="13">IF(L99&lt;&gt;0,+H99-L99,0)</f>
        <v>0</v>
      </c>
      <c r="N99" s="475">
        <f>+I99</f>
        <v>348565.74518479535</v>
      </c>
      <c r="O99" s="475">
        <f t="shared" ref="O99:O130" si="14">IF(N99&lt;&gt;0,+I99-N99,0)</f>
        <v>0</v>
      </c>
      <c r="P99" s="475">
        <f t="shared" ref="P99:P130" si="15">+O99-M99</f>
        <v>0</v>
      </c>
    </row>
    <row r="100" spans="1:16" ht="12.5">
      <c r="B100" s="160" t="str">
        <f>IF(D100=F99,"","IU")</f>
        <v>IU</v>
      </c>
      <c r="C100" s="470">
        <f>IF(D93="","-",+C99+1)</f>
        <v>2020</v>
      </c>
      <c r="D100" s="582">
        <v>4966054.75</v>
      </c>
      <c r="E100" s="583">
        <v>117642</v>
      </c>
      <c r="F100" s="584">
        <v>4848412.75</v>
      </c>
      <c r="G100" s="584">
        <v>4907233.75</v>
      </c>
      <c r="H100" s="603">
        <v>683432.56004823186</v>
      </c>
      <c r="I100" s="604">
        <v>683432.56004823186</v>
      </c>
      <c r="J100" s="476">
        <f t="shared" ref="J100:J130" si="16">+I100-H100</f>
        <v>0</v>
      </c>
      <c r="K100" s="476"/>
      <c r="L100" s="474">
        <f>H100</f>
        <v>683432.56004823186</v>
      </c>
      <c r="M100" s="347">
        <f>IF(L100&lt;&gt;0,+H100-L100,0)</f>
        <v>0</v>
      </c>
      <c r="N100" s="474">
        <f>I100</f>
        <v>683432.56004823186</v>
      </c>
      <c r="O100" s="476">
        <f t="shared" si="14"/>
        <v>0</v>
      </c>
      <c r="P100" s="476">
        <f t="shared" si="15"/>
        <v>0</v>
      </c>
    </row>
    <row r="101" spans="1:16" ht="12.5">
      <c r="B101" s="160" t="str">
        <f t="shared" ref="B101:B154" si="17">IF(D101=F100,"","IU")</f>
        <v/>
      </c>
      <c r="C101" s="470">
        <f>IF(D93="","-",+C100+1)</f>
        <v>2021</v>
      </c>
      <c r="D101" s="582">
        <v>4848412.75</v>
      </c>
      <c r="E101" s="583">
        <v>123380</v>
      </c>
      <c r="F101" s="584">
        <v>4725032.75</v>
      </c>
      <c r="G101" s="584">
        <v>4786722.75</v>
      </c>
      <c r="H101" s="603">
        <v>668074.55118974927</v>
      </c>
      <c r="I101" s="604">
        <v>668074.55118974927</v>
      </c>
      <c r="J101" s="476">
        <f t="shared" si="16"/>
        <v>0</v>
      </c>
      <c r="K101" s="476"/>
      <c r="L101" s="474">
        <f>H101</f>
        <v>668074.55118974927</v>
      </c>
      <c r="M101" s="347">
        <f>IF(L101&lt;&gt;0,+H101-L101,0)</f>
        <v>0</v>
      </c>
      <c r="N101" s="474">
        <f>I101</f>
        <v>668074.55118974927</v>
      </c>
      <c r="O101" s="476">
        <f t="shared" si="14"/>
        <v>0</v>
      </c>
      <c r="P101" s="476">
        <f t="shared" si="15"/>
        <v>0</v>
      </c>
    </row>
    <row r="102" spans="1:16" ht="12.5">
      <c r="B102" s="160" t="str">
        <f t="shared" si="17"/>
        <v>IU</v>
      </c>
      <c r="C102" s="470">
        <f>IF(D93="","-",+C101+1)</f>
        <v>2022</v>
      </c>
      <c r="D102" s="345">
        <v>4848412.75</v>
      </c>
      <c r="E102" s="482">
        <v>123380</v>
      </c>
      <c r="F102" s="483">
        <v>4725032.75</v>
      </c>
      <c r="G102" s="483">
        <v>4786722.75</v>
      </c>
      <c r="H102" s="484">
        <v>668074.55118974927</v>
      </c>
      <c r="I102" s="540">
        <v>668074.55118974927</v>
      </c>
      <c r="J102" s="476">
        <f t="shared" si="16"/>
        <v>0</v>
      </c>
      <c r="K102" s="476"/>
      <c r="L102" s="474">
        <f>H102</f>
        <v>668074.55118974927</v>
      </c>
      <c r="M102" s="347">
        <f>IF(L102&lt;&gt;0,+H102-L102,0)</f>
        <v>0</v>
      </c>
      <c r="N102" s="474">
        <f>I102</f>
        <v>668074.55118974927</v>
      </c>
      <c r="O102" s="476">
        <f t="shared" ref="O102" si="18">IF(N102&lt;&gt;0,+I102-N102,0)</f>
        <v>0</v>
      </c>
      <c r="P102" s="476">
        <f t="shared" si="15"/>
        <v>0</v>
      </c>
    </row>
    <row r="103" spans="1:16" ht="12.5">
      <c r="B103" s="160" t="str">
        <f t="shared" si="17"/>
        <v>IU</v>
      </c>
      <c r="C103" s="470">
        <f>IF(D93="","-",+C102+1)</f>
        <v>2023</v>
      </c>
      <c r="D103" s="345">
        <f>IF(F102+SUM(E$99:E102)=D$92,F102,D$92-SUM(E$99:E102))</f>
        <v>4601652.37</v>
      </c>
      <c r="E103" s="482">
        <f t="shared" ref="E103:E154" si="19">IF(+J$96&lt;F102,J$96,D103)</f>
        <v>133121</v>
      </c>
      <c r="F103" s="483">
        <f t="shared" ref="F103:F154" si="20">+D103-E103</f>
        <v>4468531.37</v>
      </c>
      <c r="G103" s="483">
        <f t="shared" ref="G103:G154" si="21">+(F103+D103)/2</f>
        <v>4535091.87</v>
      </c>
      <c r="H103" s="484">
        <f t="shared" ref="H103:H153" si="22">(D103+F103)/2*J$94+E103</f>
        <v>651151.17964586476</v>
      </c>
      <c r="I103" s="540">
        <f t="shared" ref="I103:I153" si="23">+J$95*G103+E103</f>
        <v>651151.17964586476</v>
      </c>
      <c r="J103" s="476">
        <f t="shared" si="16"/>
        <v>0</v>
      </c>
      <c r="K103" s="476"/>
      <c r="L103" s="485"/>
      <c r="M103" s="476">
        <f t="shared" ref="M103:M130" si="24">IF(L103&lt;&gt;0,+H103-L103,0)</f>
        <v>0</v>
      </c>
      <c r="N103" s="485"/>
      <c r="O103" s="476">
        <f t="shared" si="14"/>
        <v>0</v>
      </c>
      <c r="P103" s="476">
        <f t="shared" si="15"/>
        <v>0</v>
      </c>
    </row>
    <row r="104" spans="1:16" ht="12.5">
      <c r="B104" s="160" t="str">
        <f t="shared" si="17"/>
        <v/>
      </c>
      <c r="C104" s="470">
        <f>IF(D93="","-",+C103+1)</f>
        <v>2024</v>
      </c>
      <c r="D104" s="345">
        <f>IF(F103+SUM(E$99:E103)=D$92,F103,D$92-SUM(E$99:E103))</f>
        <v>4468531.37</v>
      </c>
      <c r="E104" s="482">
        <f t="shared" si="19"/>
        <v>133121</v>
      </c>
      <c r="F104" s="483">
        <f t="shared" si="20"/>
        <v>4335410.37</v>
      </c>
      <c r="G104" s="483">
        <f t="shared" si="21"/>
        <v>4401970.87</v>
      </c>
      <c r="H104" s="484">
        <f t="shared" si="22"/>
        <v>635945.16011606925</v>
      </c>
      <c r="I104" s="540">
        <f t="shared" si="23"/>
        <v>635945.16011606925</v>
      </c>
      <c r="J104" s="476">
        <f t="shared" si="16"/>
        <v>0</v>
      </c>
      <c r="K104" s="476"/>
      <c r="L104" s="485"/>
      <c r="M104" s="476">
        <f t="shared" si="24"/>
        <v>0</v>
      </c>
      <c r="N104" s="485"/>
      <c r="O104" s="476">
        <f t="shared" si="14"/>
        <v>0</v>
      </c>
      <c r="P104" s="476">
        <f t="shared" si="15"/>
        <v>0</v>
      </c>
    </row>
    <row r="105" spans="1:16" ht="12.5">
      <c r="B105" s="160" t="str">
        <f t="shared" si="17"/>
        <v/>
      </c>
      <c r="C105" s="470">
        <f>IF(D93="","-",+C104+1)</f>
        <v>2025</v>
      </c>
      <c r="D105" s="345">
        <f>IF(F104+SUM(E$99:E104)=D$92,F104,D$92-SUM(E$99:E104))</f>
        <v>4335410.37</v>
      </c>
      <c r="E105" s="482">
        <f t="shared" si="19"/>
        <v>133121</v>
      </c>
      <c r="F105" s="483">
        <f t="shared" si="20"/>
        <v>4202289.37</v>
      </c>
      <c r="G105" s="483">
        <f t="shared" si="21"/>
        <v>4268849.87</v>
      </c>
      <c r="H105" s="484">
        <f t="shared" si="22"/>
        <v>620739.14058627363</v>
      </c>
      <c r="I105" s="540">
        <f t="shared" si="23"/>
        <v>620739.14058627363</v>
      </c>
      <c r="J105" s="476">
        <f t="shared" si="16"/>
        <v>0</v>
      </c>
      <c r="K105" s="476"/>
      <c r="L105" s="485"/>
      <c r="M105" s="476">
        <f t="shared" si="24"/>
        <v>0</v>
      </c>
      <c r="N105" s="485"/>
      <c r="O105" s="476">
        <f t="shared" si="14"/>
        <v>0</v>
      </c>
      <c r="P105" s="476">
        <f t="shared" si="15"/>
        <v>0</v>
      </c>
    </row>
    <row r="106" spans="1:16" ht="12.5">
      <c r="B106" s="160" t="str">
        <f t="shared" si="17"/>
        <v/>
      </c>
      <c r="C106" s="470">
        <f>IF(D93="","-",+C105+1)</f>
        <v>2026</v>
      </c>
      <c r="D106" s="345">
        <f>IF(F105+SUM(E$99:E105)=D$92,F105,D$92-SUM(E$99:E105))</f>
        <v>4202289.37</v>
      </c>
      <c r="E106" s="482">
        <f t="shared" si="19"/>
        <v>133121</v>
      </c>
      <c r="F106" s="483">
        <f t="shared" si="20"/>
        <v>4069168.37</v>
      </c>
      <c r="G106" s="483">
        <f t="shared" si="21"/>
        <v>4135728.87</v>
      </c>
      <c r="H106" s="484">
        <f t="shared" si="22"/>
        <v>605533.121056478</v>
      </c>
      <c r="I106" s="540">
        <f t="shared" si="23"/>
        <v>605533.121056478</v>
      </c>
      <c r="J106" s="476">
        <f t="shared" si="16"/>
        <v>0</v>
      </c>
      <c r="K106" s="476"/>
      <c r="L106" s="485"/>
      <c r="M106" s="476">
        <f t="shared" si="24"/>
        <v>0</v>
      </c>
      <c r="N106" s="485"/>
      <c r="O106" s="476">
        <f t="shared" si="14"/>
        <v>0</v>
      </c>
      <c r="P106" s="476">
        <f t="shared" si="15"/>
        <v>0</v>
      </c>
    </row>
    <row r="107" spans="1:16" ht="12.5">
      <c r="B107" s="160" t="str">
        <f t="shared" si="17"/>
        <v/>
      </c>
      <c r="C107" s="470">
        <f>IF(D93="","-",+C106+1)</f>
        <v>2027</v>
      </c>
      <c r="D107" s="345">
        <f>IF(F106+SUM(E$99:E106)=D$92,F106,D$92-SUM(E$99:E106))</f>
        <v>4069168.37</v>
      </c>
      <c r="E107" s="482">
        <f t="shared" si="19"/>
        <v>133121</v>
      </c>
      <c r="F107" s="483">
        <f t="shared" si="20"/>
        <v>3936047.37</v>
      </c>
      <c r="G107" s="483">
        <f t="shared" si="21"/>
        <v>4002607.87</v>
      </c>
      <c r="H107" s="484">
        <f t="shared" si="22"/>
        <v>590327.1015266825</v>
      </c>
      <c r="I107" s="540">
        <f t="shared" si="23"/>
        <v>590327.1015266825</v>
      </c>
      <c r="J107" s="476">
        <f t="shared" si="16"/>
        <v>0</v>
      </c>
      <c r="K107" s="476"/>
      <c r="L107" s="485"/>
      <c r="M107" s="476">
        <f t="shared" si="24"/>
        <v>0</v>
      </c>
      <c r="N107" s="485"/>
      <c r="O107" s="476">
        <f t="shared" si="14"/>
        <v>0</v>
      </c>
      <c r="P107" s="476">
        <f t="shared" si="15"/>
        <v>0</v>
      </c>
    </row>
    <row r="108" spans="1:16" ht="12.5">
      <c r="B108" s="160" t="str">
        <f t="shared" si="17"/>
        <v/>
      </c>
      <c r="C108" s="470">
        <f>IF(D93="","-",+C107+1)</f>
        <v>2028</v>
      </c>
      <c r="D108" s="345">
        <f>IF(F107+SUM(E$99:E107)=D$92,F107,D$92-SUM(E$99:E107))</f>
        <v>3936047.37</v>
      </c>
      <c r="E108" s="482">
        <f t="shared" si="19"/>
        <v>133121</v>
      </c>
      <c r="F108" s="483">
        <f t="shared" si="20"/>
        <v>3802926.37</v>
      </c>
      <c r="G108" s="483">
        <f t="shared" si="21"/>
        <v>3869486.87</v>
      </c>
      <c r="H108" s="484">
        <f t="shared" si="22"/>
        <v>575121.08199688687</v>
      </c>
      <c r="I108" s="540">
        <f t="shared" si="23"/>
        <v>575121.08199688687</v>
      </c>
      <c r="J108" s="476">
        <f t="shared" si="16"/>
        <v>0</v>
      </c>
      <c r="K108" s="476"/>
      <c r="L108" s="485"/>
      <c r="M108" s="476">
        <f t="shared" si="24"/>
        <v>0</v>
      </c>
      <c r="N108" s="485"/>
      <c r="O108" s="476">
        <f t="shared" si="14"/>
        <v>0</v>
      </c>
      <c r="P108" s="476">
        <f t="shared" si="15"/>
        <v>0</v>
      </c>
    </row>
    <row r="109" spans="1:16" ht="12.5">
      <c r="B109" s="160" t="str">
        <f t="shared" si="17"/>
        <v/>
      </c>
      <c r="C109" s="470">
        <f>IF(D93="","-",+C108+1)</f>
        <v>2029</v>
      </c>
      <c r="D109" s="345">
        <f>IF(F108+SUM(E$99:E108)=D$92,F108,D$92-SUM(E$99:E108))</f>
        <v>3802926.37</v>
      </c>
      <c r="E109" s="482">
        <f t="shared" si="19"/>
        <v>133121</v>
      </c>
      <c r="F109" s="483">
        <f t="shared" si="20"/>
        <v>3669805.37</v>
      </c>
      <c r="G109" s="483">
        <f t="shared" si="21"/>
        <v>3736365.87</v>
      </c>
      <c r="H109" s="484">
        <f t="shared" si="22"/>
        <v>559915.06246709125</v>
      </c>
      <c r="I109" s="540">
        <f t="shared" si="23"/>
        <v>559915.06246709125</v>
      </c>
      <c r="J109" s="476">
        <f t="shared" si="16"/>
        <v>0</v>
      </c>
      <c r="K109" s="476"/>
      <c r="L109" s="485"/>
      <c r="M109" s="476">
        <f t="shared" si="24"/>
        <v>0</v>
      </c>
      <c r="N109" s="485"/>
      <c r="O109" s="476">
        <f t="shared" si="14"/>
        <v>0</v>
      </c>
      <c r="P109" s="476">
        <f t="shared" si="15"/>
        <v>0</v>
      </c>
    </row>
    <row r="110" spans="1:16" ht="12.5">
      <c r="B110" s="160" t="str">
        <f t="shared" si="17"/>
        <v/>
      </c>
      <c r="C110" s="470">
        <f>IF(D93="","-",+C109+1)</f>
        <v>2030</v>
      </c>
      <c r="D110" s="345">
        <f>IF(F109+SUM(E$99:E109)=D$92,F109,D$92-SUM(E$99:E109))</f>
        <v>3669805.37</v>
      </c>
      <c r="E110" s="482">
        <f t="shared" si="19"/>
        <v>133121</v>
      </c>
      <c r="F110" s="483">
        <f t="shared" si="20"/>
        <v>3536684.37</v>
      </c>
      <c r="G110" s="483">
        <f t="shared" si="21"/>
        <v>3603244.87</v>
      </c>
      <c r="H110" s="484">
        <f t="shared" si="22"/>
        <v>544709.04293729574</v>
      </c>
      <c r="I110" s="540">
        <f t="shared" si="23"/>
        <v>544709.04293729574</v>
      </c>
      <c r="J110" s="476">
        <f t="shared" si="16"/>
        <v>0</v>
      </c>
      <c r="K110" s="476"/>
      <c r="L110" s="485"/>
      <c r="M110" s="476">
        <f t="shared" si="24"/>
        <v>0</v>
      </c>
      <c r="N110" s="485"/>
      <c r="O110" s="476">
        <f t="shared" si="14"/>
        <v>0</v>
      </c>
      <c r="P110" s="476">
        <f t="shared" si="15"/>
        <v>0</v>
      </c>
    </row>
    <row r="111" spans="1:16" ht="12.5">
      <c r="B111" s="160" t="str">
        <f t="shared" si="17"/>
        <v/>
      </c>
      <c r="C111" s="470">
        <f>IF(D93="","-",+C110+1)</f>
        <v>2031</v>
      </c>
      <c r="D111" s="345">
        <f>IF(F110+SUM(E$99:E110)=D$92,F110,D$92-SUM(E$99:E110))</f>
        <v>3536684.37</v>
      </c>
      <c r="E111" s="482">
        <f t="shared" si="19"/>
        <v>133121</v>
      </c>
      <c r="F111" s="483">
        <f t="shared" si="20"/>
        <v>3403563.37</v>
      </c>
      <c r="G111" s="483">
        <f t="shared" si="21"/>
        <v>3470123.87</v>
      </c>
      <c r="H111" s="484">
        <f t="shared" si="22"/>
        <v>529503.02340750012</v>
      </c>
      <c r="I111" s="540">
        <f t="shared" si="23"/>
        <v>529503.02340750012</v>
      </c>
      <c r="J111" s="476">
        <f t="shared" si="16"/>
        <v>0</v>
      </c>
      <c r="K111" s="476"/>
      <c r="L111" s="485"/>
      <c r="M111" s="476">
        <f t="shared" si="24"/>
        <v>0</v>
      </c>
      <c r="N111" s="485"/>
      <c r="O111" s="476">
        <f t="shared" si="14"/>
        <v>0</v>
      </c>
      <c r="P111" s="476">
        <f t="shared" si="15"/>
        <v>0</v>
      </c>
    </row>
    <row r="112" spans="1:16" ht="12.5">
      <c r="B112" s="160" t="str">
        <f t="shared" si="17"/>
        <v/>
      </c>
      <c r="C112" s="470">
        <f>IF(D93="","-",+C111+1)</f>
        <v>2032</v>
      </c>
      <c r="D112" s="345">
        <f>IF(F111+SUM(E$99:E111)=D$92,F111,D$92-SUM(E$99:E111))</f>
        <v>3403563.37</v>
      </c>
      <c r="E112" s="482">
        <f t="shared" si="19"/>
        <v>133121</v>
      </c>
      <c r="F112" s="483">
        <f t="shared" si="20"/>
        <v>3270442.37</v>
      </c>
      <c r="G112" s="483">
        <f t="shared" si="21"/>
        <v>3337002.87</v>
      </c>
      <c r="H112" s="484">
        <f t="shared" si="22"/>
        <v>514297.00387770456</v>
      </c>
      <c r="I112" s="540">
        <f t="shared" si="23"/>
        <v>514297.00387770456</v>
      </c>
      <c r="J112" s="476">
        <f t="shared" si="16"/>
        <v>0</v>
      </c>
      <c r="K112" s="476"/>
      <c r="L112" s="485"/>
      <c r="M112" s="476">
        <f t="shared" si="24"/>
        <v>0</v>
      </c>
      <c r="N112" s="485"/>
      <c r="O112" s="476">
        <f t="shared" si="14"/>
        <v>0</v>
      </c>
      <c r="P112" s="476">
        <f t="shared" si="15"/>
        <v>0</v>
      </c>
    </row>
    <row r="113" spans="2:16" ht="12.5">
      <c r="B113" s="160" t="str">
        <f t="shared" si="17"/>
        <v/>
      </c>
      <c r="C113" s="470">
        <f>IF(D93="","-",+C112+1)</f>
        <v>2033</v>
      </c>
      <c r="D113" s="345">
        <f>IF(F112+SUM(E$99:E112)=D$92,F112,D$92-SUM(E$99:E112))</f>
        <v>3270442.37</v>
      </c>
      <c r="E113" s="482">
        <f t="shared" si="19"/>
        <v>133121</v>
      </c>
      <c r="F113" s="483">
        <f t="shared" si="20"/>
        <v>3137321.37</v>
      </c>
      <c r="G113" s="483">
        <f t="shared" si="21"/>
        <v>3203881.87</v>
      </c>
      <c r="H113" s="484">
        <f t="shared" si="22"/>
        <v>499090.98434790899</v>
      </c>
      <c r="I113" s="540">
        <f t="shared" si="23"/>
        <v>499090.98434790899</v>
      </c>
      <c r="J113" s="476">
        <f t="shared" si="16"/>
        <v>0</v>
      </c>
      <c r="K113" s="476"/>
      <c r="L113" s="485"/>
      <c r="M113" s="476">
        <f t="shared" si="24"/>
        <v>0</v>
      </c>
      <c r="N113" s="485"/>
      <c r="O113" s="476">
        <f t="shared" si="14"/>
        <v>0</v>
      </c>
      <c r="P113" s="476">
        <f t="shared" si="15"/>
        <v>0</v>
      </c>
    </row>
    <row r="114" spans="2:16" ht="12.5">
      <c r="B114" s="160" t="str">
        <f t="shared" si="17"/>
        <v/>
      </c>
      <c r="C114" s="470">
        <f>IF(D93="","-",+C113+1)</f>
        <v>2034</v>
      </c>
      <c r="D114" s="345">
        <f>IF(F113+SUM(E$99:E113)=D$92,F113,D$92-SUM(E$99:E113))</f>
        <v>3137321.37</v>
      </c>
      <c r="E114" s="482">
        <f t="shared" si="19"/>
        <v>133121</v>
      </c>
      <c r="F114" s="483">
        <f t="shared" si="20"/>
        <v>3004200.37</v>
      </c>
      <c r="G114" s="483">
        <f t="shared" si="21"/>
        <v>3070760.87</v>
      </c>
      <c r="H114" s="484">
        <f t="shared" si="22"/>
        <v>483884.96481811337</v>
      </c>
      <c r="I114" s="540">
        <f t="shared" si="23"/>
        <v>483884.96481811337</v>
      </c>
      <c r="J114" s="476">
        <f t="shared" si="16"/>
        <v>0</v>
      </c>
      <c r="K114" s="476"/>
      <c r="L114" s="485"/>
      <c r="M114" s="476">
        <f t="shared" si="24"/>
        <v>0</v>
      </c>
      <c r="N114" s="485"/>
      <c r="O114" s="476">
        <f t="shared" si="14"/>
        <v>0</v>
      </c>
      <c r="P114" s="476">
        <f t="shared" si="15"/>
        <v>0</v>
      </c>
    </row>
    <row r="115" spans="2:16" ht="12.5">
      <c r="B115" s="160" t="str">
        <f t="shared" si="17"/>
        <v/>
      </c>
      <c r="C115" s="470">
        <f>IF(D93="","-",+C114+1)</f>
        <v>2035</v>
      </c>
      <c r="D115" s="345">
        <f>IF(F114+SUM(E$99:E114)=D$92,F114,D$92-SUM(E$99:E114))</f>
        <v>3004200.37</v>
      </c>
      <c r="E115" s="482">
        <f t="shared" si="19"/>
        <v>133121</v>
      </c>
      <c r="F115" s="483">
        <f t="shared" si="20"/>
        <v>2871079.37</v>
      </c>
      <c r="G115" s="483">
        <f t="shared" si="21"/>
        <v>2937639.87</v>
      </c>
      <c r="H115" s="484">
        <f t="shared" si="22"/>
        <v>468678.9452883178</v>
      </c>
      <c r="I115" s="540">
        <f t="shared" si="23"/>
        <v>468678.9452883178</v>
      </c>
      <c r="J115" s="476">
        <f t="shared" si="16"/>
        <v>0</v>
      </c>
      <c r="K115" s="476"/>
      <c r="L115" s="485"/>
      <c r="M115" s="476">
        <f t="shared" si="24"/>
        <v>0</v>
      </c>
      <c r="N115" s="485"/>
      <c r="O115" s="476">
        <f t="shared" si="14"/>
        <v>0</v>
      </c>
      <c r="P115" s="476">
        <f t="shared" si="15"/>
        <v>0</v>
      </c>
    </row>
    <row r="116" spans="2:16" ht="12.5">
      <c r="B116" s="160" t="str">
        <f t="shared" si="17"/>
        <v/>
      </c>
      <c r="C116" s="470">
        <f>IF(D93="","-",+C115+1)</f>
        <v>2036</v>
      </c>
      <c r="D116" s="345">
        <f>IF(F115+SUM(E$99:E115)=D$92,F115,D$92-SUM(E$99:E115))</f>
        <v>2871079.37</v>
      </c>
      <c r="E116" s="482">
        <f t="shared" si="19"/>
        <v>133121</v>
      </c>
      <c r="F116" s="483">
        <f t="shared" si="20"/>
        <v>2737958.37</v>
      </c>
      <c r="G116" s="483">
        <f t="shared" si="21"/>
        <v>2804518.87</v>
      </c>
      <c r="H116" s="484">
        <f t="shared" si="22"/>
        <v>453472.92575852224</v>
      </c>
      <c r="I116" s="540">
        <f t="shared" si="23"/>
        <v>453472.92575852224</v>
      </c>
      <c r="J116" s="476">
        <f t="shared" si="16"/>
        <v>0</v>
      </c>
      <c r="K116" s="476"/>
      <c r="L116" s="485"/>
      <c r="M116" s="476">
        <f t="shared" si="24"/>
        <v>0</v>
      </c>
      <c r="N116" s="485"/>
      <c r="O116" s="476">
        <f t="shared" si="14"/>
        <v>0</v>
      </c>
      <c r="P116" s="476">
        <f t="shared" si="15"/>
        <v>0</v>
      </c>
    </row>
    <row r="117" spans="2:16" ht="12.5">
      <c r="B117" s="160" t="str">
        <f t="shared" si="17"/>
        <v/>
      </c>
      <c r="C117" s="470">
        <f>IF(D93="","-",+C116+1)</f>
        <v>2037</v>
      </c>
      <c r="D117" s="345">
        <f>IF(F116+SUM(E$99:E116)=D$92,F116,D$92-SUM(E$99:E116))</f>
        <v>2737958.37</v>
      </c>
      <c r="E117" s="482">
        <f t="shared" si="19"/>
        <v>133121</v>
      </c>
      <c r="F117" s="483">
        <f t="shared" si="20"/>
        <v>2604837.37</v>
      </c>
      <c r="G117" s="483">
        <f t="shared" si="21"/>
        <v>2671397.87</v>
      </c>
      <c r="H117" s="484">
        <f t="shared" si="22"/>
        <v>438266.90622872661</v>
      </c>
      <c r="I117" s="540">
        <f t="shared" si="23"/>
        <v>438266.90622872661</v>
      </c>
      <c r="J117" s="476">
        <f t="shared" si="16"/>
        <v>0</v>
      </c>
      <c r="K117" s="476"/>
      <c r="L117" s="485"/>
      <c r="M117" s="476">
        <f t="shared" si="24"/>
        <v>0</v>
      </c>
      <c r="N117" s="485"/>
      <c r="O117" s="476">
        <f t="shared" si="14"/>
        <v>0</v>
      </c>
      <c r="P117" s="476">
        <f t="shared" si="15"/>
        <v>0</v>
      </c>
    </row>
    <row r="118" spans="2:16" ht="12.5">
      <c r="B118" s="160" t="str">
        <f t="shared" si="17"/>
        <v/>
      </c>
      <c r="C118" s="470">
        <f>IF(D93="","-",+C117+1)</f>
        <v>2038</v>
      </c>
      <c r="D118" s="345">
        <f>IF(F117+SUM(E$99:E117)=D$92,F117,D$92-SUM(E$99:E117))</f>
        <v>2604837.37</v>
      </c>
      <c r="E118" s="482">
        <f t="shared" si="19"/>
        <v>133121</v>
      </c>
      <c r="F118" s="483">
        <f t="shared" si="20"/>
        <v>2471716.37</v>
      </c>
      <c r="G118" s="483">
        <f t="shared" si="21"/>
        <v>2538276.87</v>
      </c>
      <c r="H118" s="484">
        <f t="shared" si="22"/>
        <v>423060.88669893105</v>
      </c>
      <c r="I118" s="540">
        <f t="shared" si="23"/>
        <v>423060.88669893105</v>
      </c>
      <c r="J118" s="476">
        <f t="shared" si="16"/>
        <v>0</v>
      </c>
      <c r="K118" s="476"/>
      <c r="L118" s="485"/>
      <c r="M118" s="476">
        <f t="shared" si="24"/>
        <v>0</v>
      </c>
      <c r="N118" s="485"/>
      <c r="O118" s="476">
        <f t="shared" si="14"/>
        <v>0</v>
      </c>
      <c r="P118" s="476">
        <f t="shared" si="15"/>
        <v>0</v>
      </c>
    </row>
    <row r="119" spans="2:16" ht="12.5">
      <c r="B119" s="160" t="str">
        <f t="shared" si="17"/>
        <v/>
      </c>
      <c r="C119" s="470">
        <f>IF(D93="","-",+C118+1)</f>
        <v>2039</v>
      </c>
      <c r="D119" s="345">
        <f>IF(F118+SUM(E$99:E118)=D$92,F118,D$92-SUM(E$99:E118))</f>
        <v>2471716.37</v>
      </c>
      <c r="E119" s="482">
        <f t="shared" si="19"/>
        <v>133121</v>
      </c>
      <c r="F119" s="483">
        <f t="shared" si="20"/>
        <v>2338595.37</v>
      </c>
      <c r="G119" s="483">
        <f t="shared" si="21"/>
        <v>2405155.87</v>
      </c>
      <c r="H119" s="484">
        <f t="shared" si="22"/>
        <v>407854.86716913548</v>
      </c>
      <c r="I119" s="540">
        <f t="shared" si="23"/>
        <v>407854.86716913548</v>
      </c>
      <c r="J119" s="476">
        <f t="shared" si="16"/>
        <v>0</v>
      </c>
      <c r="K119" s="476"/>
      <c r="L119" s="485"/>
      <c r="M119" s="476">
        <f t="shared" si="24"/>
        <v>0</v>
      </c>
      <c r="N119" s="485"/>
      <c r="O119" s="476">
        <f t="shared" si="14"/>
        <v>0</v>
      </c>
      <c r="P119" s="476">
        <f t="shared" si="15"/>
        <v>0</v>
      </c>
    </row>
    <row r="120" spans="2:16" ht="12.5">
      <c r="B120" s="160" t="str">
        <f t="shared" si="17"/>
        <v/>
      </c>
      <c r="C120" s="470">
        <f>IF(D93="","-",+C119+1)</f>
        <v>2040</v>
      </c>
      <c r="D120" s="345">
        <f>IF(F119+SUM(E$99:E119)=D$92,F119,D$92-SUM(E$99:E119))</f>
        <v>2338595.37</v>
      </c>
      <c r="E120" s="482">
        <f t="shared" si="19"/>
        <v>133121</v>
      </c>
      <c r="F120" s="483">
        <f t="shared" si="20"/>
        <v>2205474.37</v>
      </c>
      <c r="G120" s="483">
        <f t="shared" si="21"/>
        <v>2272034.87</v>
      </c>
      <c r="H120" s="484">
        <f t="shared" si="22"/>
        <v>392648.84763933986</v>
      </c>
      <c r="I120" s="540">
        <f t="shared" si="23"/>
        <v>392648.84763933986</v>
      </c>
      <c r="J120" s="476">
        <f t="shared" si="16"/>
        <v>0</v>
      </c>
      <c r="K120" s="476"/>
      <c r="L120" s="485"/>
      <c r="M120" s="476">
        <f t="shared" si="24"/>
        <v>0</v>
      </c>
      <c r="N120" s="485"/>
      <c r="O120" s="476">
        <f t="shared" si="14"/>
        <v>0</v>
      </c>
      <c r="P120" s="476">
        <f t="shared" si="15"/>
        <v>0</v>
      </c>
    </row>
    <row r="121" spans="2:16" ht="12.5">
      <c r="B121" s="160" t="str">
        <f t="shared" si="17"/>
        <v/>
      </c>
      <c r="C121" s="470">
        <f>IF(D93="","-",+C120+1)</f>
        <v>2041</v>
      </c>
      <c r="D121" s="345">
        <f>IF(F120+SUM(E$99:E120)=D$92,F120,D$92-SUM(E$99:E120))</f>
        <v>2205474.37</v>
      </c>
      <c r="E121" s="482">
        <f t="shared" si="19"/>
        <v>133121</v>
      </c>
      <c r="F121" s="483">
        <f t="shared" si="20"/>
        <v>2072353.37</v>
      </c>
      <c r="G121" s="483">
        <f t="shared" si="21"/>
        <v>2138913.87</v>
      </c>
      <c r="H121" s="484">
        <f t="shared" si="22"/>
        <v>377442.82810954435</v>
      </c>
      <c r="I121" s="540">
        <f t="shared" si="23"/>
        <v>377442.82810954435</v>
      </c>
      <c r="J121" s="476">
        <f t="shared" si="16"/>
        <v>0</v>
      </c>
      <c r="K121" s="476"/>
      <c r="L121" s="485"/>
      <c r="M121" s="476">
        <f t="shared" si="24"/>
        <v>0</v>
      </c>
      <c r="N121" s="485"/>
      <c r="O121" s="476">
        <f t="shared" si="14"/>
        <v>0</v>
      </c>
      <c r="P121" s="476">
        <f t="shared" si="15"/>
        <v>0</v>
      </c>
    </row>
    <row r="122" spans="2:16" ht="12.5">
      <c r="B122" s="160" t="str">
        <f t="shared" si="17"/>
        <v/>
      </c>
      <c r="C122" s="470">
        <f>IF(D93="","-",+C121+1)</f>
        <v>2042</v>
      </c>
      <c r="D122" s="345">
        <f>IF(F121+SUM(E$99:E121)=D$92,F121,D$92-SUM(E$99:E121))</f>
        <v>2072353.37</v>
      </c>
      <c r="E122" s="482">
        <f t="shared" si="19"/>
        <v>133121</v>
      </c>
      <c r="F122" s="483">
        <f t="shared" si="20"/>
        <v>1939232.37</v>
      </c>
      <c r="G122" s="483">
        <f t="shared" si="21"/>
        <v>2005792.87</v>
      </c>
      <c r="H122" s="484">
        <f t="shared" si="22"/>
        <v>362236.80857974873</v>
      </c>
      <c r="I122" s="540">
        <f t="shared" si="23"/>
        <v>362236.80857974873</v>
      </c>
      <c r="J122" s="476">
        <f t="shared" si="16"/>
        <v>0</v>
      </c>
      <c r="K122" s="476"/>
      <c r="L122" s="485"/>
      <c r="M122" s="476">
        <f t="shared" si="24"/>
        <v>0</v>
      </c>
      <c r="N122" s="485"/>
      <c r="O122" s="476">
        <f t="shared" si="14"/>
        <v>0</v>
      </c>
      <c r="P122" s="476">
        <f t="shared" si="15"/>
        <v>0</v>
      </c>
    </row>
    <row r="123" spans="2:16" ht="12.5">
      <c r="B123" s="160" t="str">
        <f t="shared" si="17"/>
        <v/>
      </c>
      <c r="C123" s="470">
        <f>IF(D93="","-",+C122+1)</f>
        <v>2043</v>
      </c>
      <c r="D123" s="345">
        <f>IF(F122+SUM(E$99:E122)=D$92,F122,D$92-SUM(E$99:E122))</f>
        <v>1939232.37</v>
      </c>
      <c r="E123" s="482">
        <f t="shared" si="19"/>
        <v>133121</v>
      </c>
      <c r="F123" s="483">
        <f t="shared" si="20"/>
        <v>1806111.37</v>
      </c>
      <c r="G123" s="483">
        <f t="shared" si="21"/>
        <v>1872671.87</v>
      </c>
      <c r="H123" s="484">
        <f t="shared" si="22"/>
        <v>347030.78904995316</v>
      </c>
      <c r="I123" s="540">
        <f t="shared" si="23"/>
        <v>347030.78904995316</v>
      </c>
      <c r="J123" s="476">
        <f t="shared" si="16"/>
        <v>0</v>
      </c>
      <c r="K123" s="476"/>
      <c r="L123" s="485"/>
      <c r="M123" s="476">
        <f t="shared" si="24"/>
        <v>0</v>
      </c>
      <c r="N123" s="485"/>
      <c r="O123" s="476">
        <f t="shared" si="14"/>
        <v>0</v>
      </c>
      <c r="P123" s="476">
        <f t="shared" si="15"/>
        <v>0</v>
      </c>
    </row>
    <row r="124" spans="2:16" ht="12.5">
      <c r="B124" s="160" t="str">
        <f t="shared" si="17"/>
        <v/>
      </c>
      <c r="C124" s="470">
        <f>IF(D93="","-",+C123+1)</f>
        <v>2044</v>
      </c>
      <c r="D124" s="345">
        <f>IF(F123+SUM(E$99:E123)=D$92,F123,D$92-SUM(E$99:E123))</f>
        <v>1806111.37</v>
      </c>
      <c r="E124" s="482">
        <f t="shared" si="19"/>
        <v>133121</v>
      </c>
      <c r="F124" s="483">
        <f t="shared" si="20"/>
        <v>1672990.37</v>
      </c>
      <c r="G124" s="483">
        <f t="shared" si="21"/>
        <v>1739550.87</v>
      </c>
      <c r="H124" s="484">
        <f t="shared" si="22"/>
        <v>331824.7695201576</v>
      </c>
      <c r="I124" s="540">
        <f t="shared" si="23"/>
        <v>331824.7695201576</v>
      </c>
      <c r="J124" s="476">
        <f t="shared" si="16"/>
        <v>0</v>
      </c>
      <c r="K124" s="476"/>
      <c r="L124" s="485"/>
      <c r="M124" s="476">
        <f t="shared" si="24"/>
        <v>0</v>
      </c>
      <c r="N124" s="485"/>
      <c r="O124" s="476">
        <f t="shared" si="14"/>
        <v>0</v>
      </c>
      <c r="P124" s="476">
        <f t="shared" si="15"/>
        <v>0</v>
      </c>
    </row>
    <row r="125" spans="2:16" ht="12.5">
      <c r="B125" s="160" t="str">
        <f t="shared" si="17"/>
        <v/>
      </c>
      <c r="C125" s="470">
        <f>IF(D93="","-",+C124+1)</f>
        <v>2045</v>
      </c>
      <c r="D125" s="345">
        <f>IF(F124+SUM(E$99:E124)=D$92,F124,D$92-SUM(E$99:E124))</f>
        <v>1672990.37</v>
      </c>
      <c r="E125" s="482">
        <f t="shared" si="19"/>
        <v>133121</v>
      </c>
      <c r="F125" s="483">
        <f t="shared" si="20"/>
        <v>1539869.37</v>
      </c>
      <c r="G125" s="483">
        <f t="shared" si="21"/>
        <v>1606429.87</v>
      </c>
      <c r="H125" s="484">
        <f t="shared" si="22"/>
        <v>316618.74999036198</v>
      </c>
      <c r="I125" s="540">
        <f t="shared" si="23"/>
        <v>316618.74999036198</v>
      </c>
      <c r="J125" s="476">
        <f t="shared" si="16"/>
        <v>0</v>
      </c>
      <c r="K125" s="476"/>
      <c r="L125" s="485"/>
      <c r="M125" s="476">
        <f t="shared" si="24"/>
        <v>0</v>
      </c>
      <c r="N125" s="485"/>
      <c r="O125" s="476">
        <f t="shared" si="14"/>
        <v>0</v>
      </c>
      <c r="P125" s="476">
        <f t="shared" si="15"/>
        <v>0</v>
      </c>
    </row>
    <row r="126" spans="2:16" ht="12.5">
      <c r="B126" s="160" t="str">
        <f t="shared" si="17"/>
        <v/>
      </c>
      <c r="C126" s="470">
        <f>IF(D93="","-",+C125+1)</f>
        <v>2046</v>
      </c>
      <c r="D126" s="345">
        <f>IF(F125+SUM(E$99:E125)=D$92,F125,D$92-SUM(E$99:E125))</f>
        <v>1539869.37</v>
      </c>
      <c r="E126" s="482">
        <f t="shared" si="19"/>
        <v>133121</v>
      </c>
      <c r="F126" s="483">
        <f t="shared" si="20"/>
        <v>1406748.37</v>
      </c>
      <c r="G126" s="483">
        <f t="shared" si="21"/>
        <v>1473308.87</v>
      </c>
      <c r="H126" s="484">
        <f t="shared" si="22"/>
        <v>301412.73046056641</v>
      </c>
      <c r="I126" s="540">
        <f t="shared" si="23"/>
        <v>301412.73046056641</v>
      </c>
      <c r="J126" s="476">
        <f t="shared" si="16"/>
        <v>0</v>
      </c>
      <c r="K126" s="476"/>
      <c r="L126" s="485"/>
      <c r="M126" s="476">
        <f t="shared" si="24"/>
        <v>0</v>
      </c>
      <c r="N126" s="485"/>
      <c r="O126" s="476">
        <f t="shared" si="14"/>
        <v>0</v>
      </c>
      <c r="P126" s="476">
        <f t="shared" si="15"/>
        <v>0</v>
      </c>
    </row>
    <row r="127" spans="2:16" ht="12.5">
      <c r="B127" s="160" t="str">
        <f t="shared" si="17"/>
        <v/>
      </c>
      <c r="C127" s="470">
        <f>IF(D93="","-",+C126+1)</f>
        <v>2047</v>
      </c>
      <c r="D127" s="345">
        <f>IF(F126+SUM(E$99:E126)=D$92,F126,D$92-SUM(E$99:E126))</f>
        <v>1406748.37</v>
      </c>
      <c r="E127" s="482">
        <f t="shared" si="19"/>
        <v>133121</v>
      </c>
      <c r="F127" s="483">
        <f t="shared" si="20"/>
        <v>1273627.3700000001</v>
      </c>
      <c r="G127" s="483">
        <f t="shared" si="21"/>
        <v>1340187.8700000001</v>
      </c>
      <c r="H127" s="484">
        <f t="shared" si="22"/>
        <v>286206.71093077085</v>
      </c>
      <c r="I127" s="540">
        <f t="shared" si="23"/>
        <v>286206.71093077085</v>
      </c>
      <c r="J127" s="476">
        <f t="shared" si="16"/>
        <v>0</v>
      </c>
      <c r="K127" s="476"/>
      <c r="L127" s="485"/>
      <c r="M127" s="476">
        <f t="shared" si="24"/>
        <v>0</v>
      </c>
      <c r="N127" s="485"/>
      <c r="O127" s="476">
        <f t="shared" si="14"/>
        <v>0</v>
      </c>
      <c r="P127" s="476">
        <f t="shared" si="15"/>
        <v>0</v>
      </c>
    </row>
    <row r="128" spans="2:16" ht="12.5">
      <c r="B128" s="160" t="str">
        <f t="shared" si="17"/>
        <v/>
      </c>
      <c r="C128" s="470">
        <f>IF(D93="","-",+C127+1)</f>
        <v>2048</v>
      </c>
      <c r="D128" s="345">
        <f>IF(F127+SUM(E$99:E127)=D$92,F127,D$92-SUM(E$99:E127))</f>
        <v>1273627.3700000001</v>
      </c>
      <c r="E128" s="482">
        <f t="shared" si="19"/>
        <v>133121</v>
      </c>
      <c r="F128" s="483">
        <f t="shared" si="20"/>
        <v>1140506.3700000001</v>
      </c>
      <c r="G128" s="483">
        <f t="shared" si="21"/>
        <v>1207066.8700000001</v>
      </c>
      <c r="H128" s="484">
        <f t="shared" si="22"/>
        <v>271000.69140097522</v>
      </c>
      <c r="I128" s="540">
        <f t="shared" si="23"/>
        <v>271000.69140097522</v>
      </c>
      <c r="J128" s="476">
        <f t="shared" si="16"/>
        <v>0</v>
      </c>
      <c r="K128" s="476"/>
      <c r="L128" s="485"/>
      <c r="M128" s="476">
        <f t="shared" si="24"/>
        <v>0</v>
      </c>
      <c r="N128" s="485"/>
      <c r="O128" s="476">
        <f t="shared" si="14"/>
        <v>0</v>
      </c>
      <c r="P128" s="476">
        <f t="shared" si="15"/>
        <v>0</v>
      </c>
    </row>
    <row r="129" spans="2:16" ht="12.5">
      <c r="B129" s="160" t="str">
        <f t="shared" si="17"/>
        <v/>
      </c>
      <c r="C129" s="470">
        <f>IF(D93="","-",+C128+1)</f>
        <v>2049</v>
      </c>
      <c r="D129" s="345">
        <f>IF(F128+SUM(E$99:E128)=D$92,F128,D$92-SUM(E$99:E128))</f>
        <v>1140506.3700000001</v>
      </c>
      <c r="E129" s="482">
        <f t="shared" si="19"/>
        <v>133121</v>
      </c>
      <c r="F129" s="483">
        <f t="shared" si="20"/>
        <v>1007385.3700000001</v>
      </c>
      <c r="G129" s="483">
        <f t="shared" si="21"/>
        <v>1073945.8700000001</v>
      </c>
      <c r="H129" s="484">
        <f t="shared" si="22"/>
        <v>255794.67187117966</v>
      </c>
      <c r="I129" s="540">
        <f t="shared" si="23"/>
        <v>255794.67187117966</v>
      </c>
      <c r="J129" s="476">
        <f t="shared" si="16"/>
        <v>0</v>
      </c>
      <c r="K129" s="476"/>
      <c r="L129" s="485"/>
      <c r="M129" s="476">
        <f t="shared" si="24"/>
        <v>0</v>
      </c>
      <c r="N129" s="485"/>
      <c r="O129" s="476">
        <f t="shared" si="14"/>
        <v>0</v>
      </c>
      <c r="P129" s="476">
        <f t="shared" si="15"/>
        <v>0</v>
      </c>
    </row>
    <row r="130" spans="2:16" ht="12.5">
      <c r="B130" s="160" t="str">
        <f t="shared" si="17"/>
        <v/>
      </c>
      <c r="C130" s="470">
        <f>IF(D93="","-",+C129+1)</f>
        <v>2050</v>
      </c>
      <c r="D130" s="345">
        <f>IF(F129+SUM(E$99:E129)=D$92,F129,D$92-SUM(E$99:E129))</f>
        <v>1007385.3700000001</v>
      </c>
      <c r="E130" s="482">
        <f t="shared" si="19"/>
        <v>133121</v>
      </c>
      <c r="F130" s="483">
        <f t="shared" si="20"/>
        <v>874264.37000000011</v>
      </c>
      <c r="G130" s="483">
        <f t="shared" si="21"/>
        <v>940824.87000000011</v>
      </c>
      <c r="H130" s="484">
        <f t="shared" si="22"/>
        <v>240588.65234138409</v>
      </c>
      <c r="I130" s="540">
        <f t="shared" si="23"/>
        <v>240588.65234138409</v>
      </c>
      <c r="J130" s="476">
        <f t="shared" si="16"/>
        <v>0</v>
      </c>
      <c r="K130" s="476"/>
      <c r="L130" s="485"/>
      <c r="M130" s="476">
        <f t="shared" si="24"/>
        <v>0</v>
      </c>
      <c r="N130" s="485"/>
      <c r="O130" s="476">
        <f t="shared" si="14"/>
        <v>0</v>
      </c>
      <c r="P130" s="476">
        <f t="shared" si="15"/>
        <v>0</v>
      </c>
    </row>
    <row r="131" spans="2:16" ht="12.5">
      <c r="B131" s="160" t="str">
        <f t="shared" si="17"/>
        <v/>
      </c>
      <c r="C131" s="470">
        <f>IF(D93="","-",+C130+1)</f>
        <v>2051</v>
      </c>
      <c r="D131" s="345">
        <f>IF(F130+SUM(E$99:E130)=D$92,F130,D$92-SUM(E$99:E130))</f>
        <v>874264.37000000011</v>
      </c>
      <c r="E131" s="482">
        <f t="shared" si="19"/>
        <v>133121</v>
      </c>
      <c r="F131" s="483">
        <f t="shared" si="20"/>
        <v>741143.37000000011</v>
      </c>
      <c r="G131" s="483">
        <f t="shared" si="21"/>
        <v>807703.87000000011</v>
      </c>
      <c r="H131" s="484">
        <f t="shared" si="22"/>
        <v>225382.6328115885</v>
      </c>
      <c r="I131" s="540">
        <f t="shared" si="23"/>
        <v>225382.6328115885</v>
      </c>
      <c r="J131" s="476">
        <f t="shared" ref="J131:J154" si="25">+I541-H541</f>
        <v>0</v>
      </c>
      <c r="K131" s="476"/>
      <c r="L131" s="485"/>
      <c r="M131" s="476">
        <f t="shared" ref="M131:M154" si="26">IF(L541&lt;&gt;0,+H541-L541,0)</f>
        <v>0</v>
      </c>
      <c r="N131" s="485"/>
      <c r="O131" s="476">
        <f t="shared" ref="O131:O154" si="27">IF(N541&lt;&gt;0,+I541-N541,0)</f>
        <v>0</v>
      </c>
      <c r="P131" s="476">
        <f t="shared" ref="P131:P154" si="28">+O541-M541</f>
        <v>0</v>
      </c>
    </row>
    <row r="132" spans="2:16" ht="12.5">
      <c r="B132" s="160" t="str">
        <f t="shared" si="17"/>
        <v/>
      </c>
      <c r="C132" s="470">
        <f>IF(D93="","-",+C131+1)</f>
        <v>2052</v>
      </c>
      <c r="D132" s="345">
        <f>IF(F131+SUM(E$99:E131)=D$92,F131,D$92-SUM(E$99:E131))</f>
        <v>741143.37000000011</v>
      </c>
      <c r="E132" s="482">
        <f t="shared" si="19"/>
        <v>133121</v>
      </c>
      <c r="F132" s="483">
        <f t="shared" si="20"/>
        <v>608022.37000000011</v>
      </c>
      <c r="G132" s="483">
        <f t="shared" si="21"/>
        <v>674582.87000000011</v>
      </c>
      <c r="H132" s="484">
        <f t="shared" si="22"/>
        <v>210176.6132817929</v>
      </c>
      <c r="I132" s="540">
        <f t="shared" si="23"/>
        <v>210176.6132817929</v>
      </c>
      <c r="J132" s="476">
        <f t="shared" si="25"/>
        <v>0</v>
      </c>
      <c r="K132" s="476"/>
      <c r="L132" s="485"/>
      <c r="M132" s="476">
        <f t="shared" si="26"/>
        <v>0</v>
      </c>
      <c r="N132" s="485"/>
      <c r="O132" s="476">
        <f t="shared" si="27"/>
        <v>0</v>
      </c>
      <c r="P132" s="476">
        <f t="shared" si="28"/>
        <v>0</v>
      </c>
    </row>
    <row r="133" spans="2:16" ht="12.5">
      <c r="B133" s="160" t="str">
        <f t="shared" si="17"/>
        <v/>
      </c>
      <c r="C133" s="470">
        <f>IF(D93="","-",+C132+1)</f>
        <v>2053</v>
      </c>
      <c r="D133" s="345">
        <f>IF(F132+SUM(E$99:E132)=D$92,F132,D$92-SUM(E$99:E132))</f>
        <v>608022.37000000011</v>
      </c>
      <c r="E133" s="482">
        <f t="shared" si="19"/>
        <v>133121</v>
      </c>
      <c r="F133" s="483">
        <f t="shared" si="20"/>
        <v>474901.37000000011</v>
      </c>
      <c r="G133" s="483">
        <f t="shared" si="21"/>
        <v>541461.87000000011</v>
      </c>
      <c r="H133" s="484">
        <f t="shared" si="22"/>
        <v>194970.59375199734</v>
      </c>
      <c r="I133" s="540">
        <f t="shared" si="23"/>
        <v>194970.59375199734</v>
      </c>
      <c r="J133" s="476">
        <f t="shared" si="25"/>
        <v>0</v>
      </c>
      <c r="K133" s="476"/>
      <c r="L133" s="485"/>
      <c r="M133" s="476">
        <f t="shared" si="26"/>
        <v>0</v>
      </c>
      <c r="N133" s="485"/>
      <c r="O133" s="476">
        <f t="shared" si="27"/>
        <v>0</v>
      </c>
      <c r="P133" s="476">
        <f t="shared" si="28"/>
        <v>0</v>
      </c>
    </row>
    <row r="134" spans="2:16" ht="12.5">
      <c r="B134" s="160" t="str">
        <f t="shared" si="17"/>
        <v/>
      </c>
      <c r="C134" s="470">
        <f>IF(D93="","-",+C133+1)</f>
        <v>2054</v>
      </c>
      <c r="D134" s="345">
        <f>IF(F133+SUM(E$99:E133)=D$92,F133,D$92-SUM(E$99:E133))</f>
        <v>474901.37000000011</v>
      </c>
      <c r="E134" s="482">
        <f t="shared" si="19"/>
        <v>133121</v>
      </c>
      <c r="F134" s="483">
        <f t="shared" si="20"/>
        <v>341780.37000000011</v>
      </c>
      <c r="G134" s="483">
        <f t="shared" si="21"/>
        <v>408340.87000000011</v>
      </c>
      <c r="H134" s="484">
        <f t="shared" si="22"/>
        <v>179764.57422220177</v>
      </c>
      <c r="I134" s="540">
        <f t="shared" si="23"/>
        <v>179764.57422220177</v>
      </c>
      <c r="J134" s="476">
        <f t="shared" si="25"/>
        <v>0</v>
      </c>
      <c r="K134" s="476"/>
      <c r="L134" s="485"/>
      <c r="M134" s="476">
        <f t="shared" si="26"/>
        <v>0</v>
      </c>
      <c r="N134" s="485"/>
      <c r="O134" s="476">
        <f t="shared" si="27"/>
        <v>0</v>
      </c>
      <c r="P134" s="476">
        <f t="shared" si="28"/>
        <v>0</v>
      </c>
    </row>
    <row r="135" spans="2:16" ht="12.5">
      <c r="B135" s="160" t="str">
        <f t="shared" si="17"/>
        <v/>
      </c>
      <c r="C135" s="470">
        <f>IF(D93="","-",+C134+1)</f>
        <v>2055</v>
      </c>
      <c r="D135" s="345">
        <f>IF(F134+SUM(E$99:E134)=D$92,F134,D$92-SUM(E$99:E134))</f>
        <v>341780.37000000011</v>
      </c>
      <c r="E135" s="482">
        <f t="shared" si="19"/>
        <v>133121</v>
      </c>
      <c r="F135" s="483">
        <f t="shared" si="20"/>
        <v>208659.37000000011</v>
      </c>
      <c r="G135" s="483">
        <f t="shared" si="21"/>
        <v>275219.87000000011</v>
      </c>
      <c r="H135" s="484">
        <f t="shared" si="22"/>
        <v>164558.55469240618</v>
      </c>
      <c r="I135" s="540">
        <f t="shared" si="23"/>
        <v>164558.55469240618</v>
      </c>
      <c r="J135" s="476">
        <f t="shared" si="25"/>
        <v>0</v>
      </c>
      <c r="K135" s="476"/>
      <c r="L135" s="485"/>
      <c r="M135" s="476">
        <f t="shared" si="26"/>
        <v>0</v>
      </c>
      <c r="N135" s="485"/>
      <c r="O135" s="476">
        <f t="shared" si="27"/>
        <v>0</v>
      </c>
      <c r="P135" s="476">
        <f t="shared" si="28"/>
        <v>0</v>
      </c>
    </row>
    <row r="136" spans="2:16" ht="12.5">
      <c r="B136" s="160" t="str">
        <f t="shared" si="17"/>
        <v/>
      </c>
      <c r="C136" s="470">
        <f>IF(D93="","-",+C135+1)</f>
        <v>2056</v>
      </c>
      <c r="D136" s="345">
        <f>IF(F135+SUM(E$99:E135)=D$92,F135,D$92-SUM(E$99:E135))</f>
        <v>208659.37000000011</v>
      </c>
      <c r="E136" s="482">
        <f t="shared" si="19"/>
        <v>133121</v>
      </c>
      <c r="F136" s="483">
        <f t="shared" si="20"/>
        <v>75538.370000000112</v>
      </c>
      <c r="G136" s="483">
        <f t="shared" si="21"/>
        <v>142098.87000000011</v>
      </c>
      <c r="H136" s="484">
        <f t="shared" si="22"/>
        <v>149352.53516261058</v>
      </c>
      <c r="I136" s="540">
        <f t="shared" si="23"/>
        <v>149352.53516261058</v>
      </c>
      <c r="J136" s="476">
        <f t="shared" si="25"/>
        <v>0</v>
      </c>
      <c r="K136" s="476"/>
      <c r="L136" s="485"/>
      <c r="M136" s="476">
        <f t="shared" si="26"/>
        <v>0</v>
      </c>
      <c r="N136" s="485"/>
      <c r="O136" s="476">
        <f t="shared" si="27"/>
        <v>0</v>
      </c>
      <c r="P136" s="476">
        <f t="shared" si="28"/>
        <v>0</v>
      </c>
    </row>
    <row r="137" spans="2:16" ht="12.5">
      <c r="B137" s="160" t="str">
        <f t="shared" si="17"/>
        <v/>
      </c>
      <c r="C137" s="470">
        <f>IF(D93="","-",+C136+1)</f>
        <v>2057</v>
      </c>
      <c r="D137" s="345">
        <f>IF(F136+SUM(E$99:E136)=D$92,F136,D$92-SUM(E$99:E136))</f>
        <v>75538.370000000112</v>
      </c>
      <c r="E137" s="482">
        <f t="shared" si="19"/>
        <v>75538.370000000112</v>
      </c>
      <c r="F137" s="483">
        <f t="shared" si="20"/>
        <v>0</v>
      </c>
      <c r="G137" s="483">
        <f t="shared" si="21"/>
        <v>37769.185000000056</v>
      </c>
      <c r="H137" s="484">
        <f t="shared" si="22"/>
        <v>79852.632698856512</v>
      </c>
      <c r="I137" s="540">
        <f t="shared" si="23"/>
        <v>79852.632698856512</v>
      </c>
      <c r="J137" s="476">
        <f t="shared" si="25"/>
        <v>0</v>
      </c>
      <c r="K137" s="476"/>
      <c r="L137" s="485"/>
      <c r="M137" s="476">
        <f t="shared" si="26"/>
        <v>0</v>
      </c>
      <c r="N137" s="485"/>
      <c r="O137" s="476">
        <f t="shared" si="27"/>
        <v>0</v>
      </c>
      <c r="P137" s="476">
        <f t="shared" si="28"/>
        <v>0</v>
      </c>
    </row>
    <row r="138" spans="2:16" ht="12.5">
      <c r="B138" s="160" t="str">
        <f t="shared" si="17"/>
        <v/>
      </c>
      <c r="C138" s="470">
        <f>IF(D93="","-",+C137+1)</f>
        <v>2058</v>
      </c>
      <c r="D138" s="345">
        <f>IF(F137+SUM(E$99:E137)=D$92,F137,D$92-SUM(E$99:E137))</f>
        <v>0</v>
      </c>
      <c r="E138" s="482">
        <f t="shared" si="19"/>
        <v>0</v>
      </c>
      <c r="F138" s="483">
        <f t="shared" si="20"/>
        <v>0</v>
      </c>
      <c r="G138" s="483">
        <f t="shared" si="21"/>
        <v>0</v>
      </c>
      <c r="H138" s="484">
        <f t="shared" si="22"/>
        <v>0</v>
      </c>
      <c r="I138" s="540">
        <f t="shared" si="23"/>
        <v>0</v>
      </c>
      <c r="J138" s="476">
        <f t="shared" si="25"/>
        <v>0</v>
      </c>
      <c r="K138" s="476"/>
      <c r="L138" s="485"/>
      <c r="M138" s="476">
        <f t="shared" si="26"/>
        <v>0</v>
      </c>
      <c r="N138" s="485"/>
      <c r="O138" s="476">
        <f t="shared" si="27"/>
        <v>0</v>
      </c>
      <c r="P138" s="476">
        <f t="shared" si="28"/>
        <v>0</v>
      </c>
    </row>
    <row r="139" spans="2:16" ht="12.5">
      <c r="B139" s="160" t="str">
        <f t="shared" si="17"/>
        <v/>
      </c>
      <c r="C139" s="470">
        <f>IF(D93="","-",+C138+1)</f>
        <v>2059</v>
      </c>
      <c r="D139" s="345">
        <f>IF(F138+SUM(E$99:E138)=D$92,F138,D$92-SUM(E$99:E138))</f>
        <v>0</v>
      </c>
      <c r="E139" s="482">
        <f t="shared" si="19"/>
        <v>0</v>
      </c>
      <c r="F139" s="483">
        <f t="shared" si="20"/>
        <v>0</v>
      </c>
      <c r="G139" s="483">
        <f t="shared" si="21"/>
        <v>0</v>
      </c>
      <c r="H139" s="484">
        <f t="shared" si="22"/>
        <v>0</v>
      </c>
      <c r="I139" s="540">
        <f t="shared" si="23"/>
        <v>0</v>
      </c>
      <c r="J139" s="476">
        <f t="shared" si="25"/>
        <v>0</v>
      </c>
      <c r="K139" s="476"/>
      <c r="L139" s="485"/>
      <c r="M139" s="476">
        <f t="shared" si="26"/>
        <v>0</v>
      </c>
      <c r="N139" s="485"/>
      <c r="O139" s="476">
        <f t="shared" si="27"/>
        <v>0</v>
      </c>
      <c r="P139" s="476">
        <f t="shared" si="28"/>
        <v>0</v>
      </c>
    </row>
    <row r="140" spans="2:16" ht="12.5">
      <c r="B140" s="160" t="str">
        <f t="shared" si="17"/>
        <v/>
      </c>
      <c r="C140" s="470">
        <f>IF(D93="","-",+C139+1)</f>
        <v>2060</v>
      </c>
      <c r="D140" s="345">
        <f>IF(F139+SUM(E$99:E139)=D$92,F139,D$92-SUM(E$99:E139))</f>
        <v>0</v>
      </c>
      <c r="E140" s="482">
        <f t="shared" si="19"/>
        <v>0</v>
      </c>
      <c r="F140" s="483">
        <f t="shared" si="20"/>
        <v>0</v>
      </c>
      <c r="G140" s="483">
        <f t="shared" si="21"/>
        <v>0</v>
      </c>
      <c r="H140" s="484">
        <f t="shared" si="22"/>
        <v>0</v>
      </c>
      <c r="I140" s="540">
        <f t="shared" si="23"/>
        <v>0</v>
      </c>
      <c r="J140" s="476">
        <f t="shared" si="25"/>
        <v>0</v>
      </c>
      <c r="K140" s="476"/>
      <c r="L140" s="485"/>
      <c r="M140" s="476">
        <f t="shared" si="26"/>
        <v>0</v>
      </c>
      <c r="N140" s="485"/>
      <c r="O140" s="476">
        <f t="shared" si="27"/>
        <v>0</v>
      </c>
      <c r="P140" s="476">
        <f t="shared" si="28"/>
        <v>0</v>
      </c>
    </row>
    <row r="141" spans="2:16" ht="12.5">
      <c r="B141" s="160" t="str">
        <f t="shared" si="17"/>
        <v/>
      </c>
      <c r="C141" s="470">
        <f>IF(D93="","-",+C140+1)</f>
        <v>2061</v>
      </c>
      <c r="D141" s="345">
        <f>IF(F140+SUM(E$99:E140)=D$92,F140,D$92-SUM(E$99:E140))</f>
        <v>0</v>
      </c>
      <c r="E141" s="482">
        <f t="shared" si="19"/>
        <v>0</v>
      </c>
      <c r="F141" s="483">
        <f t="shared" si="20"/>
        <v>0</v>
      </c>
      <c r="G141" s="483">
        <f t="shared" si="21"/>
        <v>0</v>
      </c>
      <c r="H141" s="484">
        <f t="shared" si="22"/>
        <v>0</v>
      </c>
      <c r="I141" s="540">
        <f t="shared" si="23"/>
        <v>0</v>
      </c>
      <c r="J141" s="476">
        <f t="shared" si="25"/>
        <v>0</v>
      </c>
      <c r="K141" s="476"/>
      <c r="L141" s="485"/>
      <c r="M141" s="476">
        <f t="shared" si="26"/>
        <v>0</v>
      </c>
      <c r="N141" s="485"/>
      <c r="O141" s="476">
        <f t="shared" si="27"/>
        <v>0</v>
      </c>
      <c r="P141" s="476">
        <f t="shared" si="28"/>
        <v>0</v>
      </c>
    </row>
    <row r="142" spans="2:16" ht="12.5">
      <c r="B142" s="160" t="str">
        <f t="shared" si="17"/>
        <v/>
      </c>
      <c r="C142" s="470">
        <f>IF(D93="","-",+C141+1)</f>
        <v>2062</v>
      </c>
      <c r="D142" s="345">
        <f>IF(F141+SUM(E$99:E141)=D$92,F141,D$92-SUM(E$99:E141))</f>
        <v>0</v>
      </c>
      <c r="E142" s="482">
        <f t="shared" si="19"/>
        <v>0</v>
      </c>
      <c r="F142" s="483">
        <f t="shared" si="20"/>
        <v>0</v>
      </c>
      <c r="G142" s="483">
        <f t="shared" si="21"/>
        <v>0</v>
      </c>
      <c r="H142" s="484">
        <f t="shared" si="22"/>
        <v>0</v>
      </c>
      <c r="I142" s="540">
        <f t="shared" si="23"/>
        <v>0</v>
      </c>
      <c r="J142" s="476">
        <f t="shared" si="25"/>
        <v>0</v>
      </c>
      <c r="K142" s="476"/>
      <c r="L142" s="485"/>
      <c r="M142" s="476">
        <f t="shared" si="26"/>
        <v>0</v>
      </c>
      <c r="N142" s="485"/>
      <c r="O142" s="476">
        <f t="shared" si="27"/>
        <v>0</v>
      </c>
      <c r="P142" s="476">
        <f t="shared" si="28"/>
        <v>0</v>
      </c>
    </row>
    <row r="143" spans="2:16" ht="12.5">
      <c r="B143" s="160" t="str">
        <f t="shared" si="17"/>
        <v/>
      </c>
      <c r="C143" s="470">
        <f>IF(D93="","-",+C142+1)</f>
        <v>2063</v>
      </c>
      <c r="D143" s="345">
        <f>IF(F142+SUM(E$99:E142)=D$92,F142,D$92-SUM(E$99:E142))</f>
        <v>0</v>
      </c>
      <c r="E143" s="482">
        <f t="shared" si="19"/>
        <v>0</v>
      </c>
      <c r="F143" s="483">
        <f t="shared" si="20"/>
        <v>0</v>
      </c>
      <c r="G143" s="483">
        <f t="shared" si="21"/>
        <v>0</v>
      </c>
      <c r="H143" s="484">
        <f t="shared" si="22"/>
        <v>0</v>
      </c>
      <c r="I143" s="540">
        <f t="shared" si="23"/>
        <v>0</v>
      </c>
      <c r="J143" s="476">
        <f t="shared" si="25"/>
        <v>0</v>
      </c>
      <c r="K143" s="476"/>
      <c r="L143" s="485"/>
      <c r="M143" s="476">
        <f t="shared" si="26"/>
        <v>0</v>
      </c>
      <c r="N143" s="485"/>
      <c r="O143" s="476">
        <f t="shared" si="27"/>
        <v>0</v>
      </c>
      <c r="P143" s="476">
        <f t="shared" si="28"/>
        <v>0</v>
      </c>
    </row>
    <row r="144" spans="2:16" ht="12.5">
      <c r="B144" s="160" t="str">
        <f t="shared" si="17"/>
        <v/>
      </c>
      <c r="C144" s="470">
        <f>IF(D93="","-",+C143+1)</f>
        <v>2064</v>
      </c>
      <c r="D144" s="345">
        <f>IF(F143+SUM(E$99:E143)=D$92,F143,D$92-SUM(E$99:E143))</f>
        <v>0</v>
      </c>
      <c r="E144" s="482">
        <f t="shared" si="19"/>
        <v>0</v>
      </c>
      <c r="F144" s="483">
        <f t="shared" si="20"/>
        <v>0</v>
      </c>
      <c r="G144" s="483">
        <f t="shared" si="21"/>
        <v>0</v>
      </c>
      <c r="H144" s="484">
        <f t="shared" si="22"/>
        <v>0</v>
      </c>
      <c r="I144" s="540">
        <f t="shared" si="23"/>
        <v>0</v>
      </c>
      <c r="J144" s="476">
        <f t="shared" si="25"/>
        <v>0</v>
      </c>
      <c r="K144" s="476"/>
      <c r="L144" s="485"/>
      <c r="M144" s="476">
        <f t="shared" si="26"/>
        <v>0</v>
      </c>
      <c r="N144" s="485"/>
      <c r="O144" s="476">
        <f t="shared" si="27"/>
        <v>0</v>
      </c>
      <c r="P144" s="476">
        <f t="shared" si="28"/>
        <v>0</v>
      </c>
    </row>
    <row r="145" spans="2:16" ht="12.5">
      <c r="B145" s="160" t="str">
        <f t="shared" si="17"/>
        <v/>
      </c>
      <c r="C145" s="470">
        <f>IF(D93="","-",+C144+1)</f>
        <v>2065</v>
      </c>
      <c r="D145" s="345">
        <f>IF(F144+SUM(E$99:E144)=D$92,F144,D$92-SUM(E$99:E144))</f>
        <v>0</v>
      </c>
      <c r="E145" s="482">
        <f t="shared" si="19"/>
        <v>0</v>
      </c>
      <c r="F145" s="483">
        <f t="shared" si="20"/>
        <v>0</v>
      </c>
      <c r="G145" s="483">
        <f t="shared" si="21"/>
        <v>0</v>
      </c>
      <c r="H145" s="484">
        <f t="shared" si="22"/>
        <v>0</v>
      </c>
      <c r="I145" s="540">
        <f t="shared" si="23"/>
        <v>0</v>
      </c>
      <c r="J145" s="476">
        <f t="shared" si="25"/>
        <v>0</v>
      </c>
      <c r="K145" s="476"/>
      <c r="L145" s="485"/>
      <c r="M145" s="476">
        <f t="shared" si="26"/>
        <v>0</v>
      </c>
      <c r="N145" s="485"/>
      <c r="O145" s="476">
        <f t="shared" si="27"/>
        <v>0</v>
      </c>
      <c r="P145" s="476">
        <f t="shared" si="28"/>
        <v>0</v>
      </c>
    </row>
    <row r="146" spans="2:16" ht="12.5">
      <c r="B146" s="160" t="str">
        <f t="shared" si="17"/>
        <v/>
      </c>
      <c r="C146" s="470">
        <f>IF(D93="","-",+C145+1)</f>
        <v>2066</v>
      </c>
      <c r="D146" s="345">
        <f>IF(F145+SUM(E$99:E145)=D$92,F145,D$92-SUM(E$99:E145))</f>
        <v>0</v>
      </c>
      <c r="E146" s="482">
        <f t="shared" si="19"/>
        <v>0</v>
      </c>
      <c r="F146" s="483">
        <f t="shared" si="20"/>
        <v>0</v>
      </c>
      <c r="G146" s="483">
        <f t="shared" si="21"/>
        <v>0</v>
      </c>
      <c r="H146" s="484">
        <f t="shared" si="22"/>
        <v>0</v>
      </c>
      <c r="I146" s="540">
        <f t="shared" si="23"/>
        <v>0</v>
      </c>
      <c r="J146" s="476">
        <f t="shared" si="25"/>
        <v>0</v>
      </c>
      <c r="K146" s="476"/>
      <c r="L146" s="485"/>
      <c r="M146" s="476">
        <f t="shared" si="26"/>
        <v>0</v>
      </c>
      <c r="N146" s="485"/>
      <c r="O146" s="476">
        <f t="shared" si="27"/>
        <v>0</v>
      </c>
      <c r="P146" s="476">
        <f t="shared" si="28"/>
        <v>0</v>
      </c>
    </row>
    <row r="147" spans="2:16" ht="12.5">
      <c r="B147" s="160" t="str">
        <f t="shared" si="17"/>
        <v/>
      </c>
      <c r="C147" s="470">
        <f>IF(D93="","-",+C146+1)</f>
        <v>2067</v>
      </c>
      <c r="D147" s="345">
        <f>IF(F146+SUM(E$99:E146)=D$92,F146,D$92-SUM(E$99:E146))</f>
        <v>0</v>
      </c>
      <c r="E147" s="482">
        <f t="shared" si="19"/>
        <v>0</v>
      </c>
      <c r="F147" s="483">
        <f t="shared" si="20"/>
        <v>0</v>
      </c>
      <c r="G147" s="483">
        <f t="shared" si="21"/>
        <v>0</v>
      </c>
      <c r="H147" s="484">
        <f t="shared" si="22"/>
        <v>0</v>
      </c>
      <c r="I147" s="540">
        <f t="shared" si="23"/>
        <v>0</v>
      </c>
      <c r="J147" s="476">
        <f t="shared" si="25"/>
        <v>0</v>
      </c>
      <c r="K147" s="476"/>
      <c r="L147" s="485"/>
      <c r="M147" s="476">
        <f t="shared" si="26"/>
        <v>0</v>
      </c>
      <c r="N147" s="485"/>
      <c r="O147" s="476">
        <f t="shared" si="27"/>
        <v>0</v>
      </c>
      <c r="P147" s="476">
        <f t="shared" si="28"/>
        <v>0</v>
      </c>
    </row>
    <row r="148" spans="2:16" ht="12.5">
      <c r="B148" s="160" t="str">
        <f t="shared" si="17"/>
        <v/>
      </c>
      <c r="C148" s="470">
        <f>IF(D93="","-",+C147+1)</f>
        <v>2068</v>
      </c>
      <c r="D148" s="345">
        <f>IF(F147+SUM(E$99:E147)=D$92,F147,D$92-SUM(E$99:E147))</f>
        <v>0</v>
      </c>
      <c r="E148" s="482">
        <f t="shared" si="19"/>
        <v>0</v>
      </c>
      <c r="F148" s="483">
        <f t="shared" si="20"/>
        <v>0</v>
      </c>
      <c r="G148" s="483">
        <f t="shared" si="21"/>
        <v>0</v>
      </c>
      <c r="H148" s="484">
        <f t="shared" si="22"/>
        <v>0</v>
      </c>
      <c r="I148" s="540">
        <f t="shared" si="23"/>
        <v>0</v>
      </c>
      <c r="J148" s="476">
        <f t="shared" si="25"/>
        <v>0</v>
      </c>
      <c r="K148" s="476"/>
      <c r="L148" s="485"/>
      <c r="M148" s="476">
        <f t="shared" si="26"/>
        <v>0</v>
      </c>
      <c r="N148" s="485"/>
      <c r="O148" s="476">
        <f t="shared" si="27"/>
        <v>0</v>
      </c>
      <c r="P148" s="476">
        <f t="shared" si="28"/>
        <v>0</v>
      </c>
    </row>
    <row r="149" spans="2:16" ht="12.5">
      <c r="B149" s="160" t="str">
        <f t="shared" si="17"/>
        <v/>
      </c>
      <c r="C149" s="470">
        <f>IF(D93="","-",+C148+1)</f>
        <v>2069</v>
      </c>
      <c r="D149" s="345">
        <f>IF(F148+SUM(E$99:E148)=D$92,F148,D$92-SUM(E$99:E148))</f>
        <v>0</v>
      </c>
      <c r="E149" s="482">
        <f t="shared" si="19"/>
        <v>0</v>
      </c>
      <c r="F149" s="483">
        <f t="shared" si="20"/>
        <v>0</v>
      </c>
      <c r="G149" s="483">
        <f t="shared" si="21"/>
        <v>0</v>
      </c>
      <c r="H149" s="484">
        <f t="shared" si="22"/>
        <v>0</v>
      </c>
      <c r="I149" s="540">
        <f t="shared" si="23"/>
        <v>0</v>
      </c>
      <c r="J149" s="476">
        <f t="shared" si="25"/>
        <v>0</v>
      </c>
      <c r="K149" s="476"/>
      <c r="L149" s="485"/>
      <c r="M149" s="476">
        <f t="shared" si="26"/>
        <v>0</v>
      </c>
      <c r="N149" s="485"/>
      <c r="O149" s="476">
        <f t="shared" si="27"/>
        <v>0</v>
      </c>
      <c r="P149" s="476">
        <f t="shared" si="28"/>
        <v>0</v>
      </c>
    </row>
    <row r="150" spans="2:16" ht="12.5">
      <c r="B150" s="160" t="str">
        <f t="shared" si="17"/>
        <v/>
      </c>
      <c r="C150" s="470">
        <f>IF(D93="","-",+C149+1)</f>
        <v>2070</v>
      </c>
      <c r="D150" s="345">
        <f>IF(F149+SUM(E$99:E149)=D$92,F149,D$92-SUM(E$99:E149))</f>
        <v>0</v>
      </c>
      <c r="E150" s="482">
        <f t="shared" si="19"/>
        <v>0</v>
      </c>
      <c r="F150" s="483">
        <f t="shared" si="20"/>
        <v>0</v>
      </c>
      <c r="G150" s="483">
        <f t="shared" si="21"/>
        <v>0</v>
      </c>
      <c r="H150" s="484">
        <f t="shared" si="22"/>
        <v>0</v>
      </c>
      <c r="I150" s="540">
        <f t="shared" si="23"/>
        <v>0</v>
      </c>
      <c r="J150" s="476">
        <f t="shared" si="25"/>
        <v>0</v>
      </c>
      <c r="K150" s="476"/>
      <c r="L150" s="485"/>
      <c r="M150" s="476">
        <f t="shared" si="26"/>
        <v>0</v>
      </c>
      <c r="N150" s="485"/>
      <c r="O150" s="476">
        <f t="shared" si="27"/>
        <v>0</v>
      </c>
      <c r="P150" s="476">
        <f t="shared" si="28"/>
        <v>0</v>
      </c>
    </row>
    <row r="151" spans="2:16" ht="12.5">
      <c r="B151" s="160" t="str">
        <f t="shared" si="17"/>
        <v/>
      </c>
      <c r="C151" s="470">
        <f>IF(D93="","-",+C150+1)</f>
        <v>2071</v>
      </c>
      <c r="D151" s="345">
        <f>IF(F150+SUM(E$99:E150)=D$92,F150,D$92-SUM(E$99:E150))</f>
        <v>0</v>
      </c>
      <c r="E151" s="482">
        <f t="shared" si="19"/>
        <v>0</v>
      </c>
      <c r="F151" s="483">
        <f t="shared" si="20"/>
        <v>0</v>
      </c>
      <c r="G151" s="483">
        <f t="shared" si="21"/>
        <v>0</v>
      </c>
      <c r="H151" s="484">
        <f t="shared" si="22"/>
        <v>0</v>
      </c>
      <c r="I151" s="540">
        <f t="shared" si="23"/>
        <v>0</v>
      </c>
      <c r="J151" s="476">
        <f t="shared" si="25"/>
        <v>0</v>
      </c>
      <c r="K151" s="476"/>
      <c r="L151" s="485"/>
      <c r="M151" s="476">
        <f t="shared" si="26"/>
        <v>0</v>
      </c>
      <c r="N151" s="485"/>
      <c r="O151" s="476">
        <f t="shared" si="27"/>
        <v>0</v>
      </c>
      <c r="P151" s="476">
        <f t="shared" si="28"/>
        <v>0</v>
      </c>
    </row>
    <row r="152" spans="2:16" ht="12.5">
      <c r="B152" s="160" t="str">
        <f t="shared" si="17"/>
        <v/>
      </c>
      <c r="C152" s="470">
        <f>IF(D93="","-",+C151+1)</f>
        <v>2072</v>
      </c>
      <c r="D152" s="345">
        <f>IF(F151+SUM(E$99:E151)=D$92,F151,D$92-SUM(E$99:E151))</f>
        <v>0</v>
      </c>
      <c r="E152" s="482">
        <f t="shared" si="19"/>
        <v>0</v>
      </c>
      <c r="F152" s="483">
        <f t="shared" si="20"/>
        <v>0</v>
      </c>
      <c r="G152" s="483">
        <f t="shared" si="21"/>
        <v>0</v>
      </c>
      <c r="H152" s="484">
        <f t="shared" si="22"/>
        <v>0</v>
      </c>
      <c r="I152" s="540">
        <f t="shared" si="23"/>
        <v>0</v>
      </c>
      <c r="J152" s="476">
        <f t="shared" si="25"/>
        <v>0</v>
      </c>
      <c r="K152" s="476"/>
      <c r="L152" s="485"/>
      <c r="M152" s="476">
        <f t="shared" si="26"/>
        <v>0</v>
      </c>
      <c r="N152" s="485"/>
      <c r="O152" s="476">
        <f t="shared" si="27"/>
        <v>0</v>
      </c>
      <c r="P152" s="476">
        <f t="shared" si="28"/>
        <v>0</v>
      </c>
    </row>
    <row r="153" spans="2:16" ht="12.5">
      <c r="B153" s="160" t="str">
        <f t="shared" si="17"/>
        <v/>
      </c>
      <c r="C153" s="470">
        <f>IF(D93="","-",+C152+1)</f>
        <v>2073</v>
      </c>
      <c r="D153" s="345">
        <f>IF(F152+SUM(E$99:E152)=D$92,F152,D$92-SUM(E$99:E152))</f>
        <v>0</v>
      </c>
      <c r="E153" s="482">
        <f t="shared" si="19"/>
        <v>0</v>
      </c>
      <c r="F153" s="483">
        <f t="shared" si="20"/>
        <v>0</v>
      </c>
      <c r="G153" s="483">
        <f t="shared" si="21"/>
        <v>0</v>
      </c>
      <c r="H153" s="484">
        <f t="shared" si="22"/>
        <v>0</v>
      </c>
      <c r="I153" s="540">
        <f t="shared" si="23"/>
        <v>0</v>
      </c>
      <c r="J153" s="476">
        <f t="shared" si="25"/>
        <v>0</v>
      </c>
      <c r="K153" s="476"/>
      <c r="L153" s="485"/>
      <c r="M153" s="476">
        <f t="shared" si="26"/>
        <v>0</v>
      </c>
      <c r="N153" s="485"/>
      <c r="O153" s="476">
        <f t="shared" si="27"/>
        <v>0</v>
      </c>
      <c r="P153" s="476">
        <f t="shared" si="28"/>
        <v>0</v>
      </c>
    </row>
    <row r="154" spans="2:16" ht="13" thickBot="1">
      <c r="B154" s="160" t="str">
        <f t="shared" si="17"/>
        <v/>
      </c>
      <c r="C154" s="487">
        <f>IF(D93="","-",+C153+1)</f>
        <v>2074</v>
      </c>
      <c r="D154" s="541">
        <f>IF(F153+SUM(E$99:E153)=D$92,F153,D$92-SUM(E$99:E153))</f>
        <v>0</v>
      </c>
      <c r="E154" s="489">
        <f t="shared" si="19"/>
        <v>0</v>
      </c>
      <c r="F154" s="488">
        <f t="shared" si="20"/>
        <v>0</v>
      </c>
      <c r="G154" s="488">
        <f t="shared" si="21"/>
        <v>0</v>
      </c>
      <c r="H154" s="610">
        <f t="shared" ref="H154" si="29">+J$94*G154+E154</f>
        <v>0</v>
      </c>
      <c r="I154" s="611">
        <f t="shared" ref="I154" si="30">+J$95*G154+E154</f>
        <v>0</v>
      </c>
      <c r="J154" s="493">
        <f t="shared" si="25"/>
        <v>0</v>
      </c>
      <c r="K154" s="476"/>
      <c r="L154" s="492"/>
      <c r="M154" s="493">
        <f t="shared" si="26"/>
        <v>0</v>
      </c>
      <c r="N154" s="492"/>
      <c r="O154" s="493">
        <f t="shared" si="27"/>
        <v>0</v>
      </c>
      <c r="P154" s="493">
        <f t="shared" si="28"/>
        <v>0</v>
      </c>
    </row>
    <row r="155" spans="2:16" ht="12.5">
      <c r="C155" s="345" t="s">
        <v>77</v>
      </c>
      <c r="D155" s="346"/>
      <c r="E155" s="346">
        <f>SUM(E99:E154)</f>
        <v>5058588.62</v>
      </c>
      <c r="F155" s="346"/>
      <c r="G155" s="346"/>
      <c r="H155" s="346">
        <f>SUM(H99:H154)</f>
        <v>16056563.192055462</v>
      </c>
      <c r="I155" s="346">
        <f>SUM(I99:I154)</f>
        <v>16056563.192055462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62"/>
  <sheetViews>
    <sheetView topLeftCell="A61" zoomScale="86" zoomScaleNormal="86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28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347790.10300118127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347790.10300118127</v>
      </c>
      <c r="O6" s="231"/>
      <c r="P6" s="231"/>
    </row>
    <row r="7" spans="1:16" ht="13.5" thickBot="1">
      <c r="C7" s="429" t="s">
        <v>46</v>
      </c>
      <c r="D7" s="616" t="s">
        <v>331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334</v>
      </c>
      <c r="E9" s="617" t="s">
        <v>335</v>
      </c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2394352.8200000003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2020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61393.662051282059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2020</v>
      </c>
      <c r="D17" s="618">
        <v>0</v>
      </c>
      <c r="E17" s="619">
        <v>19964.285714285714</v>
      </c>
      <c r="F17" s="620">
        <v>1657035.7142857143</v>
      </c>
      <c r="G17" s="619">
        <v>109448.17204091245</v>
      </c>
      <c r="H17" s="621">
        <v>109448.17204091245</v>
      </c>
      <c r="I17" s="473">
        <f>H17-G17</f>
        <v>0</v>
      </c>
      <c r="J17" s="473"/>
      <c r="K17" s="552">
        <f>+G17</f>
        <v>109448.17204091245</v>
      </c>
      <c r="L17" s="475">
        <f t="shared" ref="L17:L18" si="0">IF(K17&lt;&gt;0,+G17-K17,0)</f>
        <v>0</v>
      </c>
      <c r="M17" s="552">
        <f>+H17</f>
        <v>109448.17204091245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2021</v>
      </c>
      <c r="D18" s="471">
        <v>2325985.7142857141</v>
      </c>
      <c r="E18" s="478">
        <v>54556.976744186046</v>
      </c>
      <c r="F18" s="471">
        <v>2271428.737541528</v>
      </c>
      <c r="G18" s="478">
        <v>302407.38707255269</v>
      </c>
      <c r="H18" s="479">
        <v>302407.38707255269</v>
      </c>
      <c r="I18" s="473">
        <f>H18-G18</f>
        <v>0</v>
      </c>
      <c r="J18" s="473"/>
      <c r="K18" s="626">
        <f>+G18</f>
        <v>302407.38707255269</v>
      </c>
      <c r="L18" s="626">
        <f t="shared" si="0"/>
        <v>0</v>
      </c>
      <c r="M18" s="626">
        <f>+H18</f>
        <v>302407.38707255269</v>
      </c>
      <c r="N18" s="476">
        <f t="shared" si="1"/>
        <v>0</v>
      </c>
      <c r="O18" s="476">
        <f t="shared" si="2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2022</v>
      </c>
      <c r="D19" s="471">
        <v>2462567.7375415284</v>
      </c>
      <c r="E19" s="478">
        <v>60406.880952380954</v>
      </c>
      <c r="F19" s="471">
        <v>2402160.8565891474</v>
      </c>
      <c r="G19" s="478">
        <v>322643.1060760754</v>
      </c>
      <c r="H19" s="479">
        <v>322643.1060760754</v>
      </c>
      <c r="I19" s="473">
        <f t="shared" ref="I19:I71" si="3">H19-G19</f>
        <v>0</v>
      </c>
      <c r="J19" s="473"/>
      <c r="K19" s="626">
        <f>+G19</f>
        <v>322643.1060760754</v>
      </c>
      <c r="L19" s="626">
        <f t="shared" ref="L19" si="4">IF(K19&lt;&gt;0,+G19-K19,0)</f>
        <v>0</v>
      </c>
      <c r="M19" s="626">
        <f>+H19</f>
        <v>322643.1060760754</v>
      </c>
      <c r="N19" s="476">
        <f t="shared" si="1"/>
        <v>0</v>
      </c>
      <c r="O19" s="476">
        <f t="shared" si="2"/>
        <v>0</v>
      </c>
      <c r="P19" s="241"/>
    </row>
    <row r="20" spans="2:16" ht="12.5">
      <c r="B20" s="160" t="str">
        <f t="shared" ref="B20:B72" si="5">IF(D20=F19,"","IU")</f>
        <v>IU</v>
      </c>
      <c r="C20" s="470">
        <f>IF(D11="","-",+C19+1)</f>
        <v>2023</v>
      </c>
      <c r="D20" s="471">
        <v>2401460.3765891474</v>
      </c>
      <c r="E20" s="478">
        <v>65035.603076923078</v>
      </c>
      <c r="F20" s="471">
        <v>2336424.7735122242</v>
      </c>
      <c r="G20" s="478">
        <v>347790.10300118127</v>
      </c>
      <c r="H20" s="479">
        <v>347790.10300118127</v>
      </c>
      <c r="I20" s="473">
        <f t="shared" si="3"/>
        <v>0</v>
      </c>
      <c r="J20" s="473"/>
      <c r="K20" s="626">
        <f>+G20</f>
        <v>347790.10300118127</v>
      </c>
      <c r="L20" s="626">
        <f t="shared" ref="L20" si="6">IF(K20&lt;&gt;0,+G20-K20,0)</f>
        <v>0</v>
      </c>
      <c r="M20" s="626">
        <f>+H20</f>
        <v>347790.10300118127</v>
      </c>
      <c r="N20" s="476">
        <f t="shared" si="1"/>
        <v>0</v>
      </c>
      <c r="O20" s="476">
        <f t="shared" si="2"/>
        <v>0</v>
      </c>
      <c r="P20" s="241"/>
    </row>
    <row r="21" spans="2:16" ht="12.5">
      <c r="B21" s="160" t="str">
        <f t="shared" si="5"/>
        <v>IU</v>
      </c>
      <c r="C21" s="470">
        <f>IF(D11="","-",+C20+1)</f>
        <v>2024</v>
      </c>
      <c r="D21" s="481">
        <f>IF(F20+SUM(E$17:E20)=D$10,F20,D$10-SUM(E$17:E20))</f>
        <v>2194389.0735122245</v>
      </c>
      <c r="E21" s="482">
        <f t="shared" ref="E21:E71" si="7">IF(+I$14&lt;F20,I$14,D21)</f>
        <v>61393.662051282059</v>
      </c>
      <c r="F21" s="483">
        <f t="shared" ref="F21:F71" si="8">+D21-E21</f>
        <v>2132995.4114609426</v>
      </c>
      <c r="G21" s="484">
        <f t="shared" ref="G21:G71" si="9">(D21+F21)/2*I$12+E21</f>
        <v>319649.69765873061</v>
      </c>
      <c r="H21" s="453">
        <f t="shared" ref="H21:H71" si="10">+(D21+F21)/2*I$13+E21</f>
        <v>319649.69765873061</v>
      </c>
      <c r="I21" s="473">
        <f t="shared" si="3"/>
        <v>0</v>
      </c>
      <c r="J21" s="473"/>
      <c r="K21" s="485"/>
      <c r="L21" s="476">
        <f t="shared" ref="L21:L72" si="11">IF(K21&lt;&gt;0,+G21-K21,0)</f>
        <v>0</v>
      </c>
      <c r="M21" s="485"/>
      <c r="N21" s="476">
        <f t="shared" si="1"/>
        <v>0</v>
      </c>
      <c r="O21" s="476">
        <f t="shared" si="2"/>
        <v>0</v>
      </c>
      <c r="P21" s="241"/>
    </row>
    <row r="22" spans="2:16" ht="12.5">
      <c r="B22" s="160" t="str">
        <f t="shared" si="5"/>
        <v/>
      </c>
      <c r="C22" s="470">
        <f>IF(D11="","-",+C21+1)</f>
        <v>2025</v>
      </c>
      <c r="D22" s="481">
        <f>IF(F21+SUM(E$17:E21)=D$10,F21,D$10-SUM(E$17:E21))</f>
        <v>2132995.4114609426</v>
      </c>
      <c r="E22" s="482">
        <f t="shared" si="7"/>
        <v>61393.662051282059</v>
      </c>
      <c r="F22" s="483">
        <f t="shared" si="8"/>
        <v>2071601.7494096605</v>
      </c>
      <c r="G22" s="484">
        <f t="shared" si="9"/>
        <v>312321.81457931164</v>
      </c>
      <c r="H22" s="453">
        <f t="shared" si="10"/>
        <v>312321.81457931164</v>
      </c>
      <c r="I22" s="473">
        <f t="shared" si="3"/>
        <v>0</v>
      </c>
      <c r="J22" s="473"/>
      <c r="K22" s="485"/>
      <c r="L22" s="476">
        <f t="shared" si="11"/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 ht="12.5">
      <c r="B23" s="160" t="str">
        <f t="shared" si="5"/>
        <v/>
      </c>
      <c r="C23" s="470">
        <f>IF(D11="","-",+C22+1)</f>
        <v>2026</v>
      </c>
      <c r="D23" s="481">
        <f>IF(F22+SUM(E$17:E22)=D$10,F22,D$10-SUM(E$17:E22))</f>
        <v>2071601.7494096605</v>
      </c>
      <c r="E23" s="482">
        <f t="shared" si="7"/>
        <v>61393.662051282059</v>
      </c>
      <c r="F23" s="483">
        <f t="shared" si="8"/>
        <v>2010208.0873583783</v>
      </c>
      <c r="G23" s="484">
        <f t="shared" si="9"/>
        <v>304993.93149989261</v>
      </c>
      <c r="H23" s="453">
        <f t="shared" si="10"/>
        <v>304993.93149989261</v>
      </c>
      <c r="I23" s="473">
        <f t="shared" si="3"/>
        <v>0</v>
      </c>
      <c r="J23" s="473"/>
      <c r="K23" s="485"/>
      <c r="L23" s="476">
        <f t="shared" si="11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 ht="12.5">
      <c r="B24" s="160" t="str">
        <f t="shared" si="5"/>
        <v/>
      </c>
      <c r="C24" s="470">
        <f>IF(D11="","-",+C23+1)</f>
        <v>2027</v>
      </c>
      <c r="D24" s="481">
        <f>IF(F23+SUM(E$17:E23)=D$10,F23,D$10-SUM(E$17:E23))</f>
        <v>2010208.0873583783</v>
      </c>
      <c r="E24" s="482">
        <f t="shared" si="7"/>
        <v>61393.662051282059</v>
      </c>
      <c r="F24" s="483">
        <f t="shared" si="8"/>
        <v>1948814.4253070962</v>
      </c>
      <c r="G24" s="484">
        <f t="shared" si="9"/>
        <v>297666.04842047364</v>
      </c>
      <c r="H24" s="453">
        <f t="shared" si="10"/>
        <v>297666.04842047364</v>
      </c>
      <c r="I24" s="473">
        <f t="shared" si="3"/>
        <v>0</v>
      </c>
      <c r="J24" s="473"/>
      <c r="K24" s="485"/>
      <c r="L24" s="476">
        <f t="shared" si="11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 ht="12.5">
      <c r="B25" s="160" t="str">
        <f t="shared" si="5"/>
        <v/>
      </c>
      <c r="C25" s="470">
        <f>IF(D11="","-",+C24+1)</f>
        <v>2028</v>
      </c>
      <c r="D25" s="481">
        <f>IF(F24+SUM(E$17:E24)=D$10,F24,D$10-SUM(E$17:E24))</f>
        <v>1948814.4253070962</v>
      </c>
      <c r="E25" s="482">
        <f t="shared" si="7"/>
        <v>61393.662051282059</v>
      </c>
      <c r="F25" s="483">
        <f t="shared" si="8"/>
        <v>1887420.7632558141</v>
      </c>
      <c r="G25" s="484">
        <f t="shared" si="9"/>
        <v>290338.16534105461</v>
      </c>
      <c r="H25" s="453">
        <f t="shared" si="10"/>
        <v>290338.16534105461</v>
      </c>
      <c r="I25" s="473">
        <f t="shared" si="3"/>
        <v>0</v>
      </c>
      <c r="J25" s="473"/>
      <c r="K25" s="485"/>
      <c r="L25" s="476">
        <f t="shared" si="11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 ht="12.5">
      <c r="B26" s="160" t="str">
        <f t="shared" si="5"/>
        <v/>
      </c>
      <c r="C26" s="470">
        <f>IF(D11="","-",+C25+1)</f>
        <v>2029</v>
      </c>
      <c r="D26" s="481">
        <f>IF(F25+SUM(E$17:E25)=D$10,F25,D$10-SUM(E$17:E25))</f>
        <v>1887420.7632558141</v>
      </c>
      <c r="E26" s="482">
        <f t="shared" si="7"/>
        <v>61393.662051282059</v>
      </c>
      <c r="F26" s="483">
        <f t="shared" si="8"/>
        <v>1826027.101204532</v>
      </c>
      <c r="G26" s="484">
        <f t="shared" si="9"/>
        <v>283010.28226163564</v>
      </c>
      <c r="H26" s="453">
        <f t="shared" si="10"/>
        <v>283010.28226163564</v>
      </c>
      <c r="I26" s="473">
        <f t="shared" si="3"/>
        <v>0</v>
      </c>
      <c r="J26" s="473"/>
      <c r="K26" s="485"/>
      <c r="L26" s="476">
        <f t="shared" si="11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 ht="12.5">
      <c r="B27" s="160" t="str">
        <f t="shared" si="5"/>
        <v/>
      </c>
      <c r="C27" s="470">
        <f>IF(D11="","-",+C26+1)</f>
        <v>2030</v>
      </c>
      <c r="D27" s="481">
        <f>IF(F26+SUM(E$17:E26)=D$10,F26,D$10-SUM(E$17:E26))</f>
        <v>1826027.101204532</v>
      </c>
      <c r="E27" s="482">
        <f t="shared" si="7"/>
        <v>61393.662051282059</v>
      </c>
      <c r="F27" s="483">
        <f t="shared" si="8"/>
        <v>1764633.4391532498</v>
      </c>
      <c r="G27" s="484">
        <f t="shared" si="9"/>
        <v>275682.39918221661</v>
      </c>
      <c r="H27" s="453">
        <f t="shared" si="10"/>
        <v>275682.39918221661</v>
      </c>
      <c r="I27" s="473">
        <f t="shared" si="3"/>
        <v>0</v>
      </c>
      <c r="J27" s="473"/>
      <c r="K27" s="485"/>
      <c r="L27" s="476">
        <f t="shared" si="11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 ht="12.5">
      <c r="B28" s="160" t="str">
        <f t="shared" si="5"/>
        <v/>
      </c>
      <c r="C28" s="470">
        <f>IF(D11="","-",+C27+1)</f>
        <v>2031</v>
      </c>
      <c r="D28" s="481">
        <f>IF(F27+SUM(E$17:E27)=D$10,F27,D$10-SUM(E$17:E27))</f>
        <v>1764633.4391532498</v>
      </c>
      <c r="E28" s="482">
        <f t="shared" si="7"/>
        <v>61393.662051282059</v>
      </c>
      <c r="F28" s="483">
        <f t="shared" si="8"/>
        <v>1703239.7771019677</v>
      </c>
      <c r="G28" s="484">
        <f t="shared" si="9"/>
        <v>268354.51610279764</v>
      </c>
      <c r="H28" s="453">
        <f t="shared" si="10"/>
        <v>268354.51610279764</v>
      </c>
      <c r="I28" s="473">
        <f t="shared" si="3"/>
        <v>0</v>
      </c>
      <c r="J28" s="473"/>
      <c r="K28" s="485"/>
      <c r="L28" s="476">
        <f t="shared" si="11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 ht="12.5">
      <c r="B29" s="160" t="str">
        <f t="shared" si="5"/>
        <v/>
      </c>
      <c r="C29" s="470">
        <f>IF(D11="","-",+C28+1)</f>
        <v>2032</v>
      </c>
      <c r="D29" s="481">
        <f>IF(F28+SUM(E$17:E28)=D$10,F28,D$10-SUM(E$17:E28))</f>
        <v>1703239.7771019677</v>
      </c>
      <c r="E29" s="482">
        <f t="shared" si="7"/>
        <v>61393.662051282059</v>
      </c>
      <c r="F29" s="483">
        <f t="shared" si="8"/>
        <v>1641846.1150506856</v>
      </c>
      <c r="G29" s="484">
        <f t="shared" si="9"/>
        <v>261026.63302337864</v>
      </c>
      <c r="H29" s="453">
        <f t="shared" si="10"/>
        <v>261026.63302337864</v>
      </c>
      <c r="I29" s="473">
        <f t="shared" si="3"/>
        <v>0</v>
      </c>
      <c r="J29" s="473"/>
      <c r="K29" s="485"/>
      <c r="L29" s="476">
        <f t="shared" si="11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 ht="12.5">
      <c r="B30" s="160" t="str">
        <f t="shared" si="5"/>
        <v/>
      </c>
      <c r="C30" s="470">
        <f>IF(D11="","-",+C29+1)</f>
        <v>2033</v>
      </c>
      <c r="D30" s="481">
        <f>IF(F29+SUM(E$17:E29)=D$10,F29,D$10-SUM(E$17:E29))</f>
        <v>1641846.1150506856</v>
      </c>
      <c r="E30" s="482">
        <f t="shared" si="7"/>
        <v>61393.662051282059</v>
      </c>
      <c r="F30" s="483">
        <f t="shared" si="8"/>
        <v>1580452.4529994035</v>
      </c>
      <c r="G30" s="484">
        <f t="shared" si="9"/>
        <v>253698.74994395967</v>
      </c>
      <c r="H30" s="453">
        <f t="shared" si="10"/>
        <v>253698.74994395967</v>
      </c>
      <c r="I30" s="473">
        <f t="shared" si="3"/>
        <v>0</v>
      </c>
      <c r="J30" s="473"/>
      <c r="K30" s="485"/>
      <c r="L30" s="476">
        <f t="shared" si="11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 ht="12.5">
      <c r="B31" s="160" t="str">
        <f t="shared" si="5"/>
        <v/>
      </c>
      <c r="C31" s="470">
        <f>IF(D11="","-",+C30+1)</f>
        <v>2034</v>
      </c>
      <c r="D31" s="481">
        <f>IF(F30+SUM(E$17:E30)=D$10,F30,D$10-SUM(E$17:E30))</f>
        <v>1580452.4529994035</v>
      </c>
      <c r="E31" s="482">
        <f t="shared" si="7"/>
        <v>61393.662051282059</v>
      </c>
      <c r="F31" s="483">
        <f t="shared" si="8"/>
        <v>1519058.7909481213</v>
      </c>
      <c r="G31" s="484">
        <f t="shared" si="9"/>
        <v>246370.86686454067</v>
      </c>
      <c r="H31" s="453">
        <f t="shared" si="10"/>
        <v>246370.86686454067</v>
      </c>
      <c r="I31" s="473">
        <f t="shared" si="3"/>
        <v>0</v>
      </c>
      <c r="J31" s="473"/>
      <c r="K31" s="485"/>
      <c r="L31" s="476">
        <f t="shared" si="11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 ht="12.5">
      <c r="B32" s="160" t="str">
        <f t="shared" si="5"/>
        <v/>
      </c>
      <c r="C32" s="470">
        <f>IF(D11="","-",+C31+1)</f>
        <v>2035</v>
      </c>
      <c r="D32" s="481">
        <f>IF(F31+SUM(E$17:E31)=D$10,F31,D$10-SUM(E$17:E31))</f>
        <v>1519058.7909481213</v>
      </c>
      <c r="E32" s="482">
        <f t="shared" si="7"/>
        <v>61393.662051282059</v>
      </c>
      <c r="F32" s="483">
        <f t="shared" si="8"/>
        <v>1457665.1288968392</v>
      </c>
      <c r="G32" s="484">
        <f t="shared" si="9"/>
        <v>239042.9837851217</v>
      </c>
      <c r="H32" s="453">
        <f t="shared" si="10"/>
        <v>239042.9837851217</v>
      </c>
      <c r="I32" s="473">
        <f t="shared" si="3"/>
        <v>0</v>
      </c>
      <c r="J32" s="473"/>
      <c r="K32" s="485"/>
      <c r="L32" s="476">
        <f t="shared" si="11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 ht="12.5">
      <c r="B33" s="160" t="str">
        <f t="shared" si="5"/>
        <v/>
      </c>
      <c r="C33" s="470">
        <f>IF(D11="","-",+C32+1)</f>
        <v>2036</v>
      </c>
      <c r="D33" s="481">
        <f>IF(F32+SUM(E$17:E32)=D$10,F32,D$10-SUM(E$17:E32))</f>
        <v>1457665.1288968392</v>
      </c>
      <c r="E33" s="482">
        <f t="shared" si="7"/>
        <v>61393.662051282059</v>
      </c>
      <c r="F33" s="483">
        <f t="shared" si="8"/>
        <v>1396271.4668455571</v>
      </c>
      <c r="G33" s="484">
        <f t="shared" si="9"/>
        <v>231715.10070570267</v>
      </c>
      <c r="H33" s="453">
        <f t="shared" si="10"/>
        <v>231715.10070570267</v>
      </c>
      <c r="I33" s="473">
        <f t="shared" si="3"/>
        <v>0</v>
      </c>
      <c r="J33" s="473"/>
      <c r="K33" s="485"/>
      <c r="L33" s="476">
        <f t="shared" si="11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 ht="12.5">
      <c r="B34" s="160" t="str">
        <f t="shared" si="5"/>
        <v/>
      </c>
      <c r="C34" s="470">
        <f>IF(D11="","-",+C33+1)</f>
        <v>2037</v>
      </c>
      <c r="D34" s="481">
        <f>IF(F33+SUM(E$17:E33)=D$10,F33,D$10-SUM(E$17:E33))</f>
        <v>1396271.4668455571</v>
      </c>
      <c r="E34" s="482">
        <f t="shared" si="7"/>
        <v>61393.662051282059</v>
      </c>
      <c r="F34" s="483">
        <f t="shared" si="8"/>
        <v>1334877.804794275</v>
      </c>
      <c r="G34" s="484">
        <f t="shared" si="9"/>
        <v>224387.2176262837</v>
      </c>
      <c r="H34" s="453">
        <f t="shared" si="10"/>
        <v>224387.2176262837</v>
      </c>
      <c r="I34" s="473">
        <f t="shared" si="3"/>
        <v>0</v>
      </c>
      <c r="J34" s="473"/>
      <c r="K34" s="485"/>
      <c r="L34" s="476">
        <f t="shared" si="11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 ht="12.5">
      <c r="B35" s="160" t="str">
        <f t="shared" si="5"/>
        <v/>
      </c>
      <c r="C35" s="470">
        <f>IF(D11="","-",+C34+1)</f>
        <v>2038</v>
      </c>
      <c r="D35" s="481">
        <f>IF(F34+SUM(E$17:E34)=D$10,F34,D$10-SUM(E$17:E34))</f>
        <v>1334877.804794275</v>
      </c>
      <c r="E35" s="482">
        <f t="shared" si="7"/>
        <v>61393.662051282059</v>
      </c>
      <c r="F35" s="483">
        <f t="shared" si="8"/>
        <v>1273484.1427429928</v>
      </c>
      <c r="G35" s="484">
        <f t="shared" si="9"/>
        <v>217059.33454686467</v>
      </c>
      <c r="H35" s="453">
        <f t="shared" si="10"/>
        <v>217059.33454686467</v>
      </c>
      <c r="I35" s="473">
        <f t="shared" si="3"/>
        <v>0</v>
      </c>
      <c r="J35" s="473"/>
      <c r="K35" s="485"/>
      <c r="L35" s="476">
        <f t="shared" si="11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 ht="12.5">
      <c r="B36" s="160" t="str">
        <f t="shared" si="5"/>
        <v/>
      </c>
      <c r="C36" s="470">
        <f>IF(D11="","-",+C35+1)</f>
        <v>2039</v>
      </c>
      <c r="D36" s="481">
        <f>IF(F35+SUM(E$17:E35)=D$10,F35,D$10-SUM(E$17:E35))</f>
        <v>1273484.1427429928</v>
      </c>
      <c r="E36" s="482">
        <f t="shared" si="7"/>
        <v>61393.662051282059</v>
      </c>
      <c r="F36" s="483">
        <f t="shared" si="8"/>
        <v>1212090.4806917107</v>
      </c>
      <c r="G36" s="484">
        <f t="shared" si="9"/>
        <v>209731.4514674457</v>
      </c>
      <c r="H36" s="453">
        <f t="shared" si="10"/>
        <v>209731.4514674457</v>
      </c>
      <c r="I36" s="473">
        <f t="shared" si="3"/>
        <v>0</v>
      </c>
      <c r="J36" s="473"/>
      <c r="K36" s="485"/>
      <c r="L36" s="476">
        <f t="shared" si="11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 ht="12.5">
      <c r="B37" s="160" t="str">
        <f t="shared" si="5"/>
        <v/>
      </c>
      <c r="C37" s="470">
        <f>IF(D11="","-",+C36+1)</f>
        <v>2040</v>
      </c>
      <c r="D37" s="481">
        <f>IF(F36+SUM(E$17:E36)=D$10,F36,D$10-SUM(E$17:E36))</f>
        <v>1212090.4806917107</v>
      </c>
      <c r="E37" s="482">
        <f t="shared" si="7"/>
        <v>61393.662051282059</v>
      </c>
      <c r="F37" s="483">
        <f t="shared" si="8"/>
        <v>1150696.8186404286</v>
      </c>
      <c r="G37" s="484">
        <f t="shared" si="9"/>
        <v>202403.56838802667</v>
      </c>
      <c r="H37" s="453">
        <f t="shared" si="10"/>
        <v>202403.56838802667</v>
      </c>
      <c r="I37" s="473">
        <f t="shared" si="3"/>
        <v>0</v>
      </c>
      <c r="J37" s="473"/>
      <c r="K37" s="485"/>
      <c r="L37" s="476">
        <f t="shared" si="11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 ht="12.5">
      <c r="B38" s="160" t="str">
        <f t="shared" si="5"/>
        <v/>
      </c>
      <c r="C38" s="470">
        <f>IF(D11="","-",+C37+1)</f>
        <v>2041</v>
      </c>
      <c r="D38" s="481">
        <f>IF(F37+SUM(E$17:E37)=D$10,F37,D$10-SUM(E$17:E37))</f>
        <v>1150696.8186404286</v>
      </c>
      <c r="E38" s="482">
        <f t="shared" si="7"/>
        <v>61393.662051282059</v>
      </c>
      <c r="F38" s="483">
        <f t="shared" si="8"/>
        <v>1089303.1565891465</v>
      </c>
      <c r="G38" s="484">
        <f t="shared" si="9"/>
        <v>195075.6853086077</v>
      </c>
      <c r="H38" s="453">
        <f t="shared" si="10"/>
        <v>195075.6853086077</v>
      </c>
      <c r="I38" s="473">
        <f t="shared" si="3"/>
        <v>0</v>
      </c>
      <c r="J38" s="473"/>
      <c r="K38" s="485"/>
      <c r="L38" s="476">
        <f t="shared" si="11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 ht="12.5">
      <c r="B39" s="160" t="str">
        <f t="shared" si="5"/>
        <v/>
      </c>
      <c r="C39" s="470">
        <f>IF(D11="","-",+C38+1)</f>
        <v>2042</v>
      </c>
      <c r="D39" s="481">
        <f>IF(F38+SUM(E$17:E38)=D$10,F38,D$10-SUM(E$17:E38))</f>
        <v>1089303.1565891465</v>
      </c>
      <c r="E39" s="482">
        <f t="shared" si="7"/>
        <v>61393.662051282059</v>
      </c>
      <c r="F39" s="483">
        <f t="shared" si="8"/>
        <v>1027909.4945378645</v>
      </c>
      <c r="G39" s="484">
        <f t="shared" si="9"/>
        <v>187747.8022291887</v>
      </c>
      <c r="H39" s="453">
        <f t="shared" si="10"/>
        <v>187747.8022291887</v>
      </c>
      <c r="I39" s="473">
        <f t="shared" si="3"/>
        <v>0</v>
      </c>
      <c r="J39" s="473"/>
      <c r="K39" s="485"/>
      <c r="L39" s="476">
        <f t="shared" si="11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 ht="12.5">
      <c r="B40" s="160" t="str">
        <f t="shared" si="5"/>
        <v/>
      </c>
      <c r="C40" s="470">
        <f>IF(D11="","-",+C39+1)</f>
        <v>2043</v>
      </c>
      <c r="D40" s="481">
        <f>IF(F39+SUM(E$17:E39)=D$10,F39,D$10-SUM(E$17:E39))</f>
        <v>1027909.4945378645</v>
      </c>
      <c r="E40" s="482">
        <f t="shared" si="7"/>
        <v>61393.662051282059</v>
      </c>
      <c r="F40" s="483">
        <f t="shared" si="8"/>
        <v>966515.83248658245</v>
      </c>
      <c r="G40" s="484">
        <f t="shared" si="9"/>
        <v>180419.9191497697</v>
      </c>
      <c r="H40" s="453">
        <f t="shared" si="10"/>
        <v>180419.9191497697</v>
      </c>
      <c r="I40" s="473">
        <f t="shared" si="3"/>
        <v>0</v>
      </c>
      <c r="J40" s="473"/>
      <c r="K40" s="485"/>
      <c r="L40" s="476">
        <f t="shared" si="11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 ht="12.5">
      <c r="B41" s="160" t="str">
        <f t="shared" si="5"/>
        <v/>
      </c>
      <c r="C41" s="470">
        <f>IF(D11="","-",+C40+1)</f>
        <v>2044</v>
      </c>
      <c r="D41" s="481">
        <f>IF(F40+SUM(E$17:E40)=D$10,F40,D$10-SUM(E$17:E40))</f>
        <v>966515.83248658245</v>
      </c>
      <c r="E41" s="482">
        <f t="shared" si="7"/>
        <v>61393.662051282059</v>
      </c>
      <c r="F41" s="483">
        <f t="shared" si="8"/>
        <v>905122.17043530045</v>
      </c>
      <c r="G41" s="484">
        <f t="shared" si="9"/>
        <v>173092.03607035073</v>
      </c>
      <c r="H41" s="453">
        <f t="shared" si="10"/>
        <v>173092.03607035073</v>
      </c>
      <c r="I41" s="473">
        <f t="shared" si="3"/>
        <v>0</v>
      </c>
      <c r="J41" s="473"/>
      <c r="K41" s="485"/>
      <c r="L41" s="476">
        <f t="shared" si="11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 ht="12.5">
      <c r="B42" s="160" t="str">
        <f t="shared" si="5"/>
        <v/>
      </c>
      <c r="C42" s="470">
        <f>IF(D11="","-",+C41+1)</f>
        <v>2045</v>
      </c>
      <c r="D42" s="481">
        <f>IF(F41+SUM(E$17:E41)=D$10,F41,D$10-SUM(E$17:E41))</f>
        <v>905122.17043530045</v>
      </c>
      <c r="E42" s="482">
        <f t="shared" si="7"/>
        <v>61393.662051282059</v>
      </c>
      <c r="F42" s="483">
        <f t="shared" si="8"/>
        <v>843728.50838401844</v>
      </c>
      <c r="G42" s="484">
        <f t="shared" si="9"/>
        <v>165764.15299093176</v>
      </c>
      <c r="H42" s="453">
        <f t="shared" si="10"/>
        <v>165764.15299093176</v>
      </c>
      <c r="I42" s="473">
        <f t="shared" si="3"/>
        <v>0</v>
      </c>
      <c r="J42" s="473"/>
      <c r="K42" s="485"/>
      <c r="L42" s="476">
        <f t="shared" si="11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 ht="12.5">
      <c r="B43" s="160" t="str">
        <f t="shared" si="5"/>
        <v/>
      </c>
      <c r="C43" s="470">
        <f>IF(D11="","-",+C42+1)</f>
        <v>2046</v>
      </c>
      <c r="D43" s="481">
        <f>IF(F42+SUM(E$17:E42)=D$10,F42,D$10-SUM(E$17:E42))</f>
        <v>843728.50838401844</v>
      </c>
      <c r="E43" s="482">
        <f t="shared" si="7"/>
        <v>61393.662051282059</v>
      </c>
      <c r="F43" s="483">
        <f t="shared" si="8"/>
        <v>782334.84633273643</v>
      </c>
      <c r="G43" s="484">
        <f t="shared" si="9"/>
        <v>158436.26991151279</v>
      </c>
      <c r="H43" s="453">
        <f t="shared" si="10"/>
        <v>158436.26991151279</v>
      </c>
      <c r="I43" s="473">
        <f t="shared" si="3"/>
        <v>0</v>
      </c>
      <c r="J43" s="473"/>
      <c r="K43" s="485"/>
      <c r="L43" s="476">
        <f t="shared" si="11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 ht="12.5">
      <c r="B44" s="160" t="str">
        <f t="shared" si="5"/>
        <v/>
      </c>
      <c r="C44" s="470">
        <f>IF(D11="","-",+C43+1)</f>
        <v>2047</v>
      </c>
      <c r="D44" s="481">
        <f>IF(F43+SUM(E$17:E43)=D$10,F43,D$10-SUM(E$17:E43))</f>
        <v>782334.84633273643</v>
      </c>
      <c r="E44" s="482">
        <f t="shared" si="7"/>
        <v>61393.662051282059</v>
      </c>
      <c r="F44" s="483">
        <f t="shared" si="8"/>
        <v>720941.18428145442</v>
      </c>
      <c r="G44" s="484">
        <f t="shared" si="9"/>
        <v>151108.38683209379</v>
      </c>
      <c r="H44" s="453">
        <f t="shared" si="10"/>
        <v>151108.38683209379</v>
      </c>
      <c r="I44" s="473">
        <f t="shared" si="3"/>
        <v>0</v>
      </c>
      <c r="J44" s="473"/>
      <c r="K44" s="485"/>
      <c r="L44" s="476">
        <f t="shared" si="11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 ht="12.5">
      <c r="B45" s="160" t="str">
        <f t="shared" si="5"/>
        <v/>
      </c>
      <c r="C45" s="470">
        <f>IF(D11="","-",+C44+1)</f>
        <v>2048</v>
      </c>
      <c r="D45" s="481">
        <f>IF(F44+SUM(E$17:E44)=D$10,F44,D$10-SUM(E$17:E44))</f>
        <v>720941.18428145442</v>
      </c>
      <c r="E45" s="482">
        <f t="shared" si="7"/>
        <v>61393.662051282059</v>
      </c>
      <c r="F45" s="483">
        <f t="shared" si="8"/>
        <v>659547.52223017241</v>
      </c>
      <c r="G45" s="484">
        <f t="shared" si="9"/>
        <v>143780.50375267482</v>
      </c>
      <c r="H45" s="453">
        <f t="shared" si="10"/>
        <v>143780.50375267482</v>
      </c>
      <c r="I45" s="473">
        <f t="shared" si="3"/>
        <v>0</v>
      </c>
      <c r="J45" s="473"/>
      <c r="K45" s="485"/>
      <c r="L45" s="476">
        <f t="shared" si="11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 ht="12.5">
      <c r="B46" s="160" t="str">
        <f t="shared" si="5"/>
        <v/>
      </c>
      <c r="C46" s="470">
        <f>IF(D11="","-",+C45+1)</f>
        <v>2049</v>
      </c>
      <c r="D46" s="481">
        <f>IF(F45+SUM(E$17:E45)=D$10,F45,D$10-SUM(E$17:E45))</f>
        <v>659547.52223017241</v>
      </c>
      <c r="E46" s="482">
        <f t="shared" si="7"/>
        <v>61393.662051282059</v>
      </c>
      <c r="F46" s="483">
        <f t="shared" si="8"/>
        <v>598153.86017889041</v>
      </c>
      <c r="G46" s="484">
        <f t="shared" si="9"/>
        <v>136452.62067325582</v>
      </c>
      <c r="H46" s="453">
        <f t="shared" si="10"/>
        <v>136452.62067325582</v>
      </c>
      <c r="I46" s="473">
        <f t="shared" si="3"/>
        <v>0</v>
      </c>
      <c r="J46" s="473"/>
      <c r="K46" s="485"/>
      <c r="L46" s="476">
        <f t="shared" si="11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 ht="12.5">
      <c r="B47" s="160" t="str">
        <f t="shared" si="5"/>
        <v/>
      </c>
      <c r="C47" s="470">
        <f>IF(D11="","-",+C46+1)</f>
        <v>2050</v>
      </c>
      <c r="D47" s="481">
        <f>IF(F46+SUM(E$17:E46)=D$10,F46,D$10-SUM(E$17:E46))</f>
        <v>598153.86017889041</v>
      </c>
      <c r="E47" s="482">
        <f t="shared" si="7"/>
        <v>61393.662051282059</v>
      </c>
      <c r="F47" s="483">
        <f t="shared" si="8"/>
        <v>536760.1981276084</v>
      </c>
      <c r="G47" s="484">
        <f t="shared" si="9"/>
        <v>129124.73759383685</v>
      </c>
      <c r="H47" s="453">
        <f t="shared" si="10"/>
        <v>129124.73759383685</v>
      </c>
      <c r="I47" s="473">
        <f t="shared" si="3"/>
        <v>0</v>
      </c>
      <c r="J47" s="473"/>
      <c r="K47" s="485"/>
      <c r="L47" s="476">
        <f t="shared" si="11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 ht="12.5">
      <c r="B48" s="160" t="str">
        <f t="shared" si="5"/>
        <v/>
      </c>
      <c r="C48" s="470">
        <f>IF(D11="","-",+C47+1)</f>
        <v>2051</v>
      </c>
      <c r="D48" s="481">
        <f>IF(F47+SUM(E$17:E47)=D$10,F47,D$10-SUM(E$17:E47))</f>
        <v>536760.1981276084</v>
      </c>
      <c r="E48" s="482">
        <f t="shared" si="7"/>
        <v>61393.662051282059</v>
      </c>
      <c r="F48" s="483">
        <f t="shared" si="8"/>
        <v>475366.53607632633</v>
      </c>
      <c r="G48" s="484">
        <f t="shared" si="9"/>
        <v>121796.85451441785</v>
      </c>
      <c r="H48" s="453">
        <f t="shared" si="10"/>
        <v>121796.85451441785</v>
      </c>
      <c r="I48" s="473">
        <f t="shared" si="3"/>
        <v>0</v>
      </c>
      <c r="J48" s="473"/>
      <c r="K48" s="485"/>
      <c r="L48" s="476">
        <f t="shared" si="11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 ht="12.5">
      <c r="B49" s="160" t="str">
        <f t="shared" si="5"/>
        <v/>
      </c>
      <c r="C49" s="470">
        <f>IF(D11="","-",+C48+1)</f>
        <v>2052</v>
      </c>
      <c r="D49" s="481">
        <f>IF(F48+SUM(E$17:E48)=D$10,F48,D$10-SUM(E$17:E48))</f>
        <v>475366.53607632633</v>
      </c>
      <c r="E49" s="482">
        <f t="shared" si="7"/>
        <v>61393.662051282059</v>
      </c>
      <c r="F49" s="483">
        <f t="shared" si="8"/>
        <v>413972.87402504426</v>
      </c>
      <c r="G49" s="484">
        <f t="shared" si="9"/>
        <v>114468.97143499888</v>
      </c>
      <c r="H49" s="453">
        <f t="shared" si="10"/>
        <v>114468.97143499888</v>
      </c>
      <c r="I49" s="473">
        <f t="shared" si="3"/>
        <v>0</v>
      </c>
      <c r="J49" s="473"/>
      <c r="K49" s="485"/>
      <c r="L49" s="476">
        <f t="shared" si="11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 ht="12.5">
      <c r="B50" s="160" t="str">
        <f t="shared" si="5"/>
        <v/>
      </c>
      <c r="C50" s="470">
        <f>IF(D11="","-",+C49+1)</f>
        <v>2053</v>
      </c>
      <c r="D50" s="481">
        <f>IF(F49+SUM(E$17:E49)=D$10,F49,D$10-SUM(E$17:E49))</f>
        <v>413972.87402504426</v>
      </c>
      <c r="E50" s="482">
        <f t="shared" si="7"/>
        <v>61393.662051282059</v>
      </c>
      <c r="F50" s="483">
        <f t="shared" si="8"/>
        <v>352579.2119737622</v>
      </c>
      <c r="G50" s="484">
        <f t="shared" si="9"/>
        <v>107141.08835557988</v>
      </c>
      <c r="H50" s="453">
        <f t="shared" si="10"/>
        <v>107141.08835557988</v>
      </c>
      <c r="I50" s="473">
        <f t="shared" si="3"/>
        <v>0</v>
      </c>
      <c r="J50" s="473"/>
      <c r="K50" s="485"/>
      <c r="L50" s="476">
        <f t="shared" si="11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 ht="12.5">
      <c r="B51" s="160" t="str">
        <f t="shared" si="5"/>
        <v/>
      </c>
      <c r="C51" s="470">
        <f>IF(D11="","-",+C50+1)</f>
        <v>2054</v>
      </c>
      <c r="D51" s="481">
        <f>IF(F50+SUM(E$17:E50)=D$10,F50,D$10-SUM(E$17:E50))</f>
        <v>352579.2119737622</v>
      </c>
      <c r="E51" s="482">
        <f t="shared" si="7"/>
        <v>61393.662051282059</v>
      </c>
      <c r="F51" s="483">
        <f t="shared" si="8"/>
        <v>291185.54992248013</v>
      </c>
      <c r="G51" s="484">
        <f t="shared" si="9"/>
        <v>99813.205276160894</v>
      </c>
      <c r="H51" s="453">
        <f t="shared" si="10"/>
        <v>99813.205276160894</v>
      </c>
      <c r="I51" s="473">
        <f t="shared" si="3"/>
        <v>0</v>
      </c>
      <c r="J51" s="473"/>
      <c r="K51" s="485"/>
      <c r="L51" s="476">
        <f t="shared" si="11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 ht="12.5">
      <c r="B52" s="160" t="str">
        <f t="shared" si="5"/>
        <v/>
      </c>
      <c r="C52" s="470">
        <f>IF(D11="","-",+C51+1)</f>
        <v>2055</v>
      </c>
      <c r="D52" s="481">
        <f>IF(F51+SUM(E$17:E51)=D$10,F51,D$10-SUM(E$17:E51))</f>
        <v>291185.54992248013</v>
      </c>
      <c r="E52" s="482">
        <f t="shared" si="7"/>
        <v>61393.662051282059</v>
      </c>
      <c r="F52" s="483">
        <f t="shared" si="8"/>
        <v>229791.88787119807</v>
      </c>
      <c r="G52" s="484">
        <f t="shared" si="9"/>
        <v>92485.322196741894</v>
      </c>
      <c r="H52" s="453">
        <f t="shared" si="10"/>
        <v>92485.322196741894</v>
      </c>
      <c r="I52" s="473">
        <f t="shared" si="3"/>
        <v>0</v>
      </c>
      <c r="J52" s="473"/>
      <c r="K52" s="485"/>
      <c r="L52" s="476">
        <f t="shared" si="11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 ht="12.5">
      <c r="B53" s="160" t="str">
        <f t="shared" si="5"/>
        <v/>
      </c>
      <c r="C53" s="470">
        <f>IF(D11="","-",+C52+1)</f>
        <v>2056</v>
      </c>
      <c r="D53" s="481">
        <f>IF(F52+SUM(E$17:E52)=D$10,F52,D$10-SUM(E$17:E52))</f>
        <v>229791.88787119807</v>
      </c>
      <c r="E53" s="482">
        <f t="shared" si="7"/>
        <v>61393.662051282059</v>
      </c>
      <c r="F53" s="483">
        <f t="shared" si="8"/>
        <v>168398.225819916</v>
      </c>
      <c r="G53" s="484">
        <f t="shared" si="9"/>
        <v>85157.439117322909</v>
      </c>
      <c r="H53" s="453">
        <f t="shared" si="10"/>
        <v>85157.439117322909</v>
      </c>
      <c r="I53" s="473">
        <f t="shared" si="3"/>
        <v>0</v>
      </c>
      <c r="J53" s="473"/>
      <c r="K53" s="485"/>
      <c r="L53" s="476">
        <f t="shared" si="11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 ht="12.5">
      <c r="B54" s="160" t="str">
        <f t="shared" si="5"/>
        <v/>
      </c>
      <c r="C54" s="470">
        <f>IF(D11="","-",+C53+1)</f>
        <v>2057</v>
      </c>
      <c r="D54" s="481">
        <f>IF(F53+SUM(E$17:E53)=D$10,F53,D$10-SUM(E$17:E53))</f>
        <v>168398.225819916</v>
      </c>
      <c r="E54" s="482">
        <f t="shared" si="7"/>
        <v>61393.662051282059</v>
      </c>
      <c r="F54" s="483">
        <f t="shared" si="8"/>
        <v>107004.56376863393</v>
      </c>
      <c r="G54" s="484">
        <f t="shared" si="9"/>
        <v>77829.556037903923</v>
      </c>
      <c r="H54" s="453">
        <f t="shared" si="10"/>
        <v>77829.556037903923</v>
      </c>
      <c r="I54" s="473">
        <f t="shared" si="3"/>
        <v>0</v>
      </c>
      <c r="J54" s="473"/>
      <c r="K54" s="485"/>
      <c r="L54" s="476">
        <f t="shared" si="11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 ht="12.5">
      <c r="B55" s="160" t="str">
        <f t="shared" si="5"/>
        <v/>
      </c>
      <c r="C55" s="470">
        <f>IF(D11="","-",+C54+1)</f>
        <v>2058</v>
      </c>
      <c r="D55" s="481">
        <f>IF(F54+SUM(E$17:E54)=D$10,F54,D$10-SUM(E$17:E54))</f>
        <v>107004.56376863393</v>
      </c>
      <c r="E55" s="482">
        <f t="shared" si="7"/>
        <v>61393.662051282059</v>
      </c>
      <c r="F55" s="483">
        <f t="shared" si="8"/>
        <v>45610.901717351873</v>
      </c>
      <c r="G55" s="484">
        <f t="shared" si="9"/>
        <v>70501.672958484938</v>
      </c>
      <c r="H55" s="453">
        <f t="shared" si="10"/>
        <v>70501.672958484938</v>
      </c>
      <c r="I55" s="473">
        <f t="shared" si="3"/>
        <v>0</v>
      </c>
      <c r="J55" s="473"/>
      <c r="K55" s="485"/>
      <c r="L55" s="476">
        <f t="shared" si="11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 ht="12.5">
      <c r="B56" s="160" t="str">
        <f t="shared" si="5"/>
        <v/>
      </c>
      <c r="C56" s="470">
        <f>IF(D11="","-",+C55+1)</f>
        <v>2059</v>
      </c>
      <c r="D56" s="481">
        <f>IF(F55+SUM(E$17:E55)=D$10,F55,D$10-SUM(E$17:E55))</f>
        <v>45610.901717351873</v>
      </c>
      <c r="E56" s="482">
        <f t="shared" si="7"/>
        <v>45610.901717351873</v>
      </c>
      <c r="F56" s="483">
        <f t="shared" si="8"/>
        <v>0</v>
      </c>
      <c r="G56" s="484">
        <f t="shared" si="9"/>
        <v>48332.936401098559</v>
      </c>
      <c r="H56" s="453">
        <f t="shared" si="10"/>
        <v>48332.936401098559</v>
      </c>
      <c r="I56" s="473">
        <f t="shared" si="3"/>
        <v>0</v>
      </c>
      <c r="J56" s="473"/>
      <c r="K56" s="485"/>
      <c r="L56" s="476">
        <f t="shared" si="11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 ht="12.5">
      <c r="B57" s="160" t="str">
        <f t="shared" si="5"/>
        <v/>
      </c>
      <c r="C57" s="470">
        <f>IF(D11="","-",+C56+1)</f>
        <v>2060</v>
      </c>
      <c r="D57" s="481">
        <f>IF(F56+SUM(E$17:E56)=D$10,F56,D$10-SUM(E$17:E56))</f>
        <v>0</v>
      </c>
      <c r="E57" s="482">
        <f t="shared" si="7"/>
        <v>0</v>
      </c>
      <c r="F57" s="483">
        <f t="shared" si="8"/>
        <v>0</v>
      </c>
      <c r="G57" s="484">
        <f t="shared" si="9"/>
        <v>0</v>
      </c>
      <c r="H57" s="453">
        <f t="shared" si="10"/>
        <v>0</v>
      </c>
      <c r="I57" s="473">
        <f t="shared" si="3"/>
        <v>0</v>
      </c>
      <c r="J57" s="473"/>
      <c r="K57" s="485"/>
      <c r="L57" s="476">
        <f t="shared" si="11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 ht="12.5">
      <c r="B58" s="160" t="str">
        <f t="shared" si="5"/>
        <v/>
      </c>
      <c r="C58" s="470">
        <f>IF(D11="","-",+C57+1)</f>
        <v>2061</v>
      </c>
      <c r="D58" s="481">
        <f>IF(F57+SUM(E$17:E57)=D$10,F57,D$10-SUM(E$17:E57))</f>
        <v>0</v>
      </c>
      <c r="E58" s="482">
        <f t="shared" si="7"/>
        <v>0</v>
      </c>
      <c r="F58" s="483">
        <f t="shared" si="8"/>
        <v>0</v>
      </c>
      <c r="G58" s="484">
        <f t="shared" si="9"/>
        <v>0</v>
      </c>
      <c r="H58" s="453">
        <f t="shared" si="10"/>
        <v>0</v>
      </c>
      <c r="I58" s="473">
        <f t="shared" si="3"/>
        <v>0</v>
      </c>
      <c r="J58" s="473"/>
      <c r="K58" s="485"/>
      <c r="L58" s="476">
        <f t="shared" si="11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 ht="12.5">
      <c r="B59" s="160" t="str">
        <f t="shared" si="5"/>
        <v/>
      </c>
      <c r="C59" s="470">
        <f>IF(D11="","-",+C58+1)</f>
        <v>2062</v>
      </c>
      <c r="D59" s="481">
        <f>IF(F58+SUM(E$17:E58)=D$10,F58,D$10-SUM(E$17:E58))</f>
        <v>0</v>
      </c>
      <c r="E59" s="482">
        <f t="shared" si="7"/>
        <v>0</v>
      </c>
      <c r="F59" s="483">
        <f t="shared" si="8"/>
        <v>0</v>
      </c>
      <c r="G59" s="484">
        <f t="shared" si="9"/>
        <v>0</v>
      </c>
      <c r="H59" s="453">
        <f t="shared" si="10"/>
        <v>0</v>
      </c>
      <c r="I59" s="473">
        <f t="shared" si="3"/>
        <v>0</v>
      </c>
      <c r="J59" s="473"/>
      <c r="K59" s="485"/>
      <c r="L59" s="476">
        <f t="shared" si="11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 ht="12.5">
      <c r="B60" s="160" t="str">
        <f t="shared" si="5"/>
        <v/>
      </c>
      <c r="C60" s="470">
        <f>IF(D11="","-",+C59+1)</f>
        <v>2063</v>
      </c>
      <c r="D60" s="481">
        <f>IF(F59+SUM(E$17:E59)=D$10,F59,D$10-SUM(E$17:E59))</f>
        <v>0</v>
      </c>
      <c r="E60" s="482">
        <f t="shared" si="7"/>
        <v>0</v>
      </c>
      <c r="F60" s="483">
        <f t="shared" si="8"/>
        <v>0</v>
      </c>
      <c r="G60" s="484">
        <f t="shared" si="9"/>
        <v>0</v>
      </c>
      <c r="H60" s="453">
        <f t="shared" si="10"/>
        <v>0</v>
      </c>
      <c r="I60" s="473">
        <f t="shared" si="3"/>
        <v>0</v>
      </c>
      <c r="J60" s="473"/>
      <c r="K60" s="485"/>
      <c r="L60" s="476">
        <f t="shared" si="11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 ht="12.5">
      <c r="B61" s="160" t="str">
        <f t="shared" si="5"/>
        <v/>
      </c>
      <c r="C61" s="470">
        <f>IF(D11="","-",+C60+1)</f>
        <v>2064</v>
      </c>
      <c r="D61" s="481">
        <f>IF(F60+SUM(E$17:E60)=D$10,F60,D$10-SUM(E$17:E60))</f>
        <v>0</v>
      </c>
      <c r="E61" s="482">
        <f t="shared" si="7"/>
        <v>0</v>
      </c>
      <c r="F61" s="483">
        <f t="shared" si="8"/>
        <v>0</v>
      </c>
      <c r="G61" s="484">
        <f t="shared" si="9"/>
        <v>0</v>
      </c>
      <c r="H61" s="453">
        <f t="shared" si="10"/>
        <v>0</v>
      </c>
      <c r="I61" s="473">
        <f t="shared" si="3"/>
        <v>0</v>
      </c>
      <c r="J61" s="473"/>
      <c r="K61" s="485"/>
      <c r="L61" s="476">
        <f t="shared" si="11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 ht="12.5">
      <c r="B62" s="160" t="str">
        <f t="shared" si="5"/>
        <v/>
      </c>
      <c r="C62" s="470">
        <f>IF(D11="","-",+C61+1)</f>
        <v>2065</v>
      </c>
      <c r="D62" s="481">
        <f>IF(F61+SUM(E$17:E61)=D$10,F61,D$10-SUM(E$17:E61))</f>
        <v>0</v>
      </c>
      <c r="E62" s="482">
        <f t="shared" si="7"/>
        <v>0</v>
      </c>
      <c r="F62" s="483">
        <f t="shared" si="8"/>
        <v>0</v>
      </c>
      <c r="G62" s="484">
        <f t="shared" si="9"/>
        <v>0</v>
      </c>
      <c r="H62" s="453">
        <f t="shared" si="10"/>
        <v>0</v>
      </c>
      <c r="I62" s="473">
        <f t="shared" si="3"/>
        <v>0</v>
      </c>
      <c r="J62" s="473"/>
      <c r="K62" s="485"/>
      <c r="L62" s="476">
        <f t="shared" si="11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 ht="12.5">
      <c r="B63" s="160" t="str">
        <f t="shared" si="5"/>
        <v/>
      </c>
      <c r="C63" s="470">
        <f>IF(D11="","-",+C62+1)</f>
        <v>2066</v>
      </c>
      <c r="D63" s="481">
        <f>IF(F62+SUM(E$17:E62)=D$10,F62,D$10-SUM(E$17:E62))</f>
        <v>0</v>
      </c>
      <c r="E63" s="482">
        <f t="shared" si="7"/>
        <v>0</v>
      </c>
      <c r="F63" s="483">
        <f t="shared" si="8"/>
        <v>0</v>
      </c>
      <c r="G63" s="484">
        <f t="shared" si="9"/>
        <v>0</v>
      </c>
      <c r="H63" s="453">
        <f t="shared" si="10"/>
        <v>0</v>
      </c>
      <c r="I63" s="473">
        <f t="shared" si="3"/>
        <v>0</v>
      </c>
      <c r="J63" s="473"/>
      <c r="K63" s="485"/>
      <c r="L63" s="476">
        <f t="shared" si="11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 ht="12.5">
      <c r="B64" s="160" t="str">
        <f t="shared" si="5"/>
        <v/>
      </c>
      <c r="C64" s="470">
        <f>IF(D11="","-",+C63+1)</f>
        <v>2067</v>
      </c>
      <c r="D64" s="481">
        <f>IF(F63+SUM(E$17:E63)=D$10,F63,D$10-SUM(E$17:E63))</f>
        <v>0</v>
      </c>
      <c r="E64" s="482">
        <f t="shared" si="7"/>
        <v>0</v>
      </c>
      <c r="F64" s="483">
        <f t="shared" si="8"/>
        <v>0</v>
      </c>
      <c r="G64" s="484">
        <f t="shared" si="9"/>
        <v>0</v>
      </c>
      <c r="H64" s="453">
        <f t="shared" si="10"/>
        <v>0</v>
      </c>
      <c r="I64" s="473">
        <f t="shared" si="3"/>
        <v>0</v>
      </c>
      <c r="J64" s="473"/>
      <c r="K64" s="485"/>
      <c r="L64" s="476">
        <f t="shared" si="11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 ht="12.5">
      <c r="B65" s="160" t="str">
        <f t="shared" si="5"/>
        <v/>
      </c>
      <c r="C65" s="470">
        <f>IF(D11="","-",+C64+1)</f>
        <v>2068</v>
      </c>
      <c r="D65" s="481">
        <f>IF(F64+SUM(E$17:E64)=D$10,F64,D$10-SUM(E$17:E64))</f>
        <v>0</v>
      </c>
      <c r="E65" s="482">
        <f t="shared" si="7"/>
        <v>0</v>
      </c>
      <c r="F65" s="483">
        <f t="shared" si="8"/>
        <v>0</v>
      </c>
      <c r="G65" s="484">
        <f t="shared" si="9"/>
        <v>0</v>
      </c>
      <c r="H65" s="453">
        <f t="shared" si="10"/>
        <v>0</v>
      </c>
      <c r="I65" s="473">
        <f t="shared" si="3"/>
        <v>0</v>
      </c>
      <c r="J65" s="473"/>
      <c r="K65" s="485"/>
      <c r="L65" s="476">
        <f t="shared" si="11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 ht="12.5">
      <c r="B66" s="160" t="str">
        <f t="shared" si="5"/>
        <v/>
      </c>
      <c r="C66" s="470">
        <f>IF(D11="","-",+C65+1)</f>
        <v>2069</v>
      </c>
      <c r="D66" s="481">
        <f>IF(F65+SUM(E$17:E65)=D$10,F65,D$10-SUM(E$17:E65))</f>
        <v>0</v>
      </c>
      <c r="E66" s="482">
        <f t="shared" si="7"/>
        <v>0</v>
      </c>
      <c r="F66" s="483">
        <f t="shared" si="8"/>
        <v>0</v>
      </c>
      <c r="G66" s="484">
        <f t="shared" si="9"/>
        <v>0</v>
      </c>
      <c r="H66" s="453">
        <f t="shared" si="10"/>
        <v>0</v>
      </c>
      <c r="I66" s="473">
        <f t="shared" si="3"/>
        <v>0</v>
      </c>
      <c r="J66" s="473"/>
      <c r="K66" s="485"/>
      <c r="L66" s="476">
        <f t="shared" si="11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 ht="12.5">
      <c r="B67" s="160" t="str">
        <f t="shared" si="5"/>
        <v/>
      </c>
      <c r="C67" s="470">
        <f>IF(D11="","-",+C66+1)</f>
        <v>2070</v>
      </c>
      <c r="D67" s="481">
        <f>IF(F66+SUM(E$17:E66)=D$10,F66,D$10-SUM(E$17:E66))</f>
        <v>0</v>
      </c>
      <c r="E67" s="482">
        <f t="shared" si="7"/>
        <v>0</v>
      </c>
      <c r="F67" s="483">
        <f t="shared" si="8"/>
        <v>0</v>
      </c>
      <c r="G67" s="484">
        <f t="shared" si="9"/>
        <v>0</v>
      </c>
      <c r="H67" s="453">
        <f t="shared" si="10"/>
        <v>0</v>
      </c>
      <c r="I67" s="473">
        <f t="shared" si="3"/>
        <v>0</v>
      </c>
      <c r="J67" s="473"/>
      <c r="K67" s="485"/>
      <c r="L67" s="476">
        <f t="shared" si="11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 ht="12.5">
      <c r="B68" s="160" t="str">
        <f t="shared" si="5"/>
        <v/>
      </c>
      <c r="C68" s="470">
        <f>IF(D11="","-",+C67+1)</f>
        <v>2071</v>
      </c>
      <c r="D68" s="481">
        <f>IF(F67+SUM(E$17:E67)=D$10,F67,D$10-SUM(E$17:E67))</f>
        <v>0</v>
      </c>
      <c r="E68" s="482">
        <f t="shared" si="7"/>
        <v>0</v>
      </c>
      <c r="F68" s="483">
        <f t="shared" si="8"/>
        <v>0</v>
      </c>
      <c r="G68" s="484">
        <f t="shared" si="9"/>
        <v>0</v>
      </c>
      <c r="H68" s="453">
        <f t="shared" si="10"/>
        <v>0</v>
      </c>
      <c r="I68" s="473">
        <f t="shared" si="3"/>
        <v>0</v>
      </c>
      <c r="J68" s="473"/>
      <c r="K68" s="485"/>
      <c r="L68" s="476">
        <f t="shared" si="11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 ht="12.5">
      <c r="B69" s="160" t="str">
        <f t="shared" si="5"/>
        <v/>
      </c>
      <c r="C69" s="470">
        <f>IF(D11="","-",+C68+1)</f>
        <v>2072</v>
      </c>
      <c r="D69" s="481">
        <f>IF(F68+SUM(E$17:E68)=D$10,F68,D$10-SUM(E$17:E68))</f>
        <v>0</v>
      </c>
      <c r="E69" s="482">
        <f t="shared" si="7"/>
        <v>0</v>
      </c>
      <c r="F69" s="483">
        <f t="shared" si="8"/>
        <v>0</v>
      </c>
      <c r="G69" s="484">
        <f t="shared" si="9"/>
        <v>0</v>
      </c>
      <c r="H69" s="453">
        <f t="shared" si="10"/>
        <v>0</v>
      </c>
      <c r="I69" s="473">
        <f t="shared" si="3"/>
        <v>0</v>
      </c>
      <c r="J69" s="473"/>
      <c r="K69" s="485"/>
      <c r="L69" s="476">
        <f t="shared" si="11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 ht="12.5">
      <c r="B70" s="160" t="str">
        <f t="shared" si="5"/>
        <v/>
      </c>
      <c r="C70" s="470">
        <f>IF(D11="","-",+C69+1)</f>
        <v>2073</v>
      </c>
      <c r="D70" s="481">
        <f>IF(F69+SUM(E$17:E69)=D$10,F69,D$10-SUM(E$17:E69))</f>
        <v>0</v>
      </c>
      <c r="E70" s="482">
        <f t="shared" si="7"/>
        <v>0</v>
      </c>
      <c r="F70" s="483">
        <f t="shared" si="8"/>
        <v>0</v>
      </c>
      <c r="G70" s="484">
        <f t="shared" si="9"/>
        <v>0</v>
      </c>
      <c r="H70" s="453">
        <f t="shared" si="10"/>
        <v>0</v>
      </c>
      <c r="I70" s="473">
        <f t="shared" si="3"/>
        <v>0</v>
      </c>
      <c r="J70" s="473"/>
      <c r="K70" s="485"/>
      <c r="L70" s="476">
        <f t="shared" si="11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 ht="12.5">
      <c r="B71" s="160" t="str">
        <f t="shared" si="5"/>
        <v/>
      </c>
      <c r="C71" s="470">
        <f>IF(D11="","-",+C70+1)</f>
        <v>2074</v>
      </c>
      <c r="D71" s="481">
        <f>IF(F70+SUM(E$17:E70)=D$10,F70,D$10-SUM(E$17:E70))</f>
        <v>0</v>
      </c>
      <c r="E71" s="482">
        <f t="shared" si="7"/>
        <v>0</v>
      </c>
      <c r="F71" s="483">
        <f t="shared" si="8"/>
        <v>0</v>
      </c>
      <c r="G71" s="484">
        <f t="shared" si="9"/>
        <v>0</v>
      </c>
      <c r="H71" s="453">
        <f t="shared" si="10"/>
        <v>0</v>
      </c>
      <c r="I71" s="473">
        <f t="shared" si="3"/>
        <v>0</v>
      </c>
      <c r="J71" s="473"/>
      <c r="K71" s="485"/>
      <c r="L71" s="476">
        <f t="shared" si="11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" thickBot="1">
      <c r="B72" s="160" t="str">
        <f t="shared" si="5"/>
        <v/>
      </c>
      <c r="C72" s="487">
        <f>IF(D11="","-",+C71+1)</f>
        <v>2075</v>
      </c>
      <c r="D72" s="609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1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 ht="12.5">
      <c r="C73" s="345" t="s">
        <v>77</v>
      </c>
      <c r="D73" s="346"/>
      <c r="E73" s="346">
        <f>SUM(E17:E72)</f>
        <v>2394352.8199999994</v>
      </c>
      <c r="F73" s="346"/>
      <c r="G73" s="346">
        <f>SUM(G17:G72)</f>
        <v>7958270.6903930912</v>
      </c>
      <c r="H73" s="346">
        <f>SUM(H17:H72)</f>
        <v>7958270.6903930912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28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347790.10300118127</v>
      </c>
      <c r="N87" s="506">
        <f>IF(J92&lt;D11,0,VLOOKUP(J92,C17:O72,11))</f>
        <v>347790.10300118127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318827.71817469696</v>
      </c>
      <c r="N88" s="510">
        <f>IF(J92&lt;D11,0,VLOOKUP(J92,C99:P154,7))</f>
        <v>318827.71817469696</v>
      </c>
      <c r="O88" s="511">
        <f>+N88-M88</f>
        <v>0</v>
      </c>
      <c r="P88" s="231"/>
    </row>
    <row r="89" spans="1:16" ht="13.5" thickBot="1">
      <c r="C89" s="429" t="s">
        <v>92</v>
      </c>
      <c r="D89" s="512"/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-28962.384826484311</v>
      </c>
      <c r="N89" s="515">
        <f>+N88-N87</f>
        <v>-28962.384826484311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/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524">
        <f>D10</f>
        <v>2394352.8200000003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D11</f>
        <v>2020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D12</f>
        <v>6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63009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2020</v>
      </c>
      <c r="D99" s="582">
        <v>0</v>
      </c>
      <c r="E99" s="605">
        <v>0</v>
      </c>
      <c r="F99" s="582">
        <v>2529408</v>
      </c>
      <c r="G99" s="605">
        <v>1264704</v>
      </c>
      <c r="H99" s="585">
        <v>145816.89418304947</v>
      </c>
      <c r="I99" s="604">
        <v>145816.89418304947</v>
      </c>
      <c r="J99" s="476">
        <f>+I99-H99</f>
        <v>0</v>
      </c>
      <c r="K99" s="476"/>
      <c r="L99" s="475">
        <f>+H99</f>
        <v>145816.89418304947</v>
      </c>
      <c r="M99" s="475">
        <f t="shared" ref="M99" si="12">IF(L99&lt;&gt;0,+H99-L99,0)</f>
        <v>0</v>
      </c>
      <c r="N99" s="475">
        <f>+I99</f>
        <v>145816.89418304947</v>
      </c>
      <c r="O99" s="475">
        <f t="shared" ref="O99:O130" si="13">IF(N99&lt;&gt;0,+I99-N99,0)</f>
        <v>0</v>
      </c>
      <c r="P99" s="475">
        <f t="shared" ref="P99:P130" si="14">+O99-M99</f>
        <v>0</v>
      </c>
    </row>
    <row r="100" spans="1:16" ht="12.5">
      <c r="B100" s="160" t="str">
        <f>IF(D100=F99,"","IU")</f>
        <v>IU</v>
      </c>
      <c r="C100" s="470">
        <f>IF(D93="","-",+C99+1)</f>
        <v>2021</v>
      </c>
      <c r="D100" s="582">
        <v>2537089</v>
      </c>
      <c r="E100" s="583">
        <v>61880</v>
      </c>
      <c r="F100" s="584">
        <v>2475209</v>
      </c>
      <c r="G100" s="584">
        <v>2506149</v>
      </c>
      <c r="H100" s="603">
        <v>347061.69446301</v>
      </c>
      <c r="I100" s="604">
        <v>347061.69446301</v>
      </c>
      <c r="J100" s="476">
        <f t="shared" ref="J100:J130" si="15">+I100-H100</f>
        <v>0</v>
      </c>
      <c r="K100" s="476"/>
      <c r="L100" s="474">
        <f>H100</f>
        <v>347061.69446301</v>
      </c>
      <c r="M100" s="347">
        <f>IF(L100&lt;&gt;0,+H100-L100,0)</f>
        <v>0</v>
      </c>
      <c r="N100" s="474">
        <f>I100</f>
        <v>347061.69446301</v>
      </c>
      <c r="O100" s="476">
        <f t="shared" si="13"/>
        <v>0</v>
      </c>
      <c r="P100" s="476">
        <f t="shared" si="14"/>
        <v>0</v>
      </c>
    </row>
    <row r="101" spans="1:16" ht="12.5">
      <c r="B101" s="160" t="str">
        <f t="shared" ref="B101:B154" si="16">IF(D101=F100,"","IU")</f>
        <v>IU</v>
      </c>
      <c r="C101" s="470">
        <f>IF(D93="","-",+C100+1)</f>
        <v>2022</v>
      </c>
      <c r="D101" s="582">
        <v>2332914</v>
      </c>
      <c r="E101" s="583">
        <v>61405</v>
      </c>
      <c r="F101" s="584">
        <v>2271509</v>
      </c>
      <c r="G101" s="584">
        <v>2302211.5</v>
      </c>
      <c r="H101" s="603">
        <v>315068.77055082901</v>
      </c>
      <c r="I101" s="604">
        <v>315068.77055082901</v>
      </c>
      <c r="J101" s="476">
        <f t="shared" si="15"/>
        <v>0</v>
      </c>
      <c r="K101" s="476"/>
      <c r="L101" s="474">
        <f>H101</f>
        <v>315068.77055082901</v>
      </c>
      <c r="M101" s="347">
        <f>IF(L101&lt;&gt;0,+H101-L101,0)</f>
        <v>0</v>
      </c>
      <c r="N101" s="474">
        <f>I101</f>
        <v>315068.77055082901</v>
      </c>
      <c r="O101" s="476">
        <f t="shared" ref="O101" si="17">IF(N101&lt;&gt;0,+I101-N101,0)</f>
        <v>0</v>
      </c>
      <c r="P101" s="476">
        <f t="shared" si="14"/>
        <v>0</v>
      </c>
    </row>
    <row r="102" spans="1:16" ht="12.5">
      <c r="B102" s="160" t="str">
        <f t="shared" si="16"/>
        <v>IU</v>
      </c>
      <c r="C102" s="470">
        <f>IF(D93="","-",+C101+1)</f>
        <v>2023</v>
      </c>
      <c r="D102" s="345">
        <f>IF(F101+SUM(E$99:E101)=D$92,F101,D$92-SUM(E$99:E101))</f>
        <v>2271067.8200000003</v>
      </c>
      <c r="E102" s="482">
        <f t="shared" ref="E102:E154" si="18">IF(+J$96&lt;F101,J$96,D102)</f>
        <v>63009</v>
      </c>
      <c r="F102" s="483">
        <f t="shared" ref="F102:F154" si="19">+D102-E102</f>
        <v>2208058.8200000003</v>
      </c>
      <c r="G102" s="483">
        <f t="shared" ref="G102:G154" si="20">+(F102+D102)/2</f>
        <v>2239563.3200000003</v>
      </c>
      <c r="H102" s="484">
        <f t="shared" ref="H102:H153" si="21">(D102+F102)/2*J$94+E102</f>
        <v>318827.71817469696</v>
      </c>
      <c r="I102" s="540">
        <f t="shared" ref="I102:I153" si="22">+J$95*G102+E102</f>
        <v>318827.71817469696</v>
      </c>
      <c r="J102" s="476">
        <f t="shared" si="15"/>
        <v>0</v>
      </c>
      <c r="K102" s="476"/>
      <c r="L102" s="485"/>
      <c r="M102" s="476">
        <f t="shared" ref="M102:M130" si="23">IF(L102&lt;&gt;0,+H102-L102,0)</f>
        <v>0</v>
      </c>
      <c r="N102" s="485"/>
      <c r="O102" s="476">
        <f t="shared" si="13"/>
        <v>0</v>
      </c>
      <c r="P102" s="476">
        <f t="shared" si="14"/>
        <v>0</v>
      </c>
    </row>
    <row r="103" spans="1:16" ht="12.5">
      <c r="B103" s="160" t="str">
        <f t="shared" si="16"/>
        <v/>
      </c>
      <c r="C103" s="470">
        <f>IF(D93="","-",+C102+1)</f>
        <v>2024</v>
      </c>
      <c r="D103" s="345">
        <f>IF(F102+SUM(E$99:E102)=D$92,F102,D$92-SUM(E$99:E102))</f>
        <v>2208058.8200000003</v>
      </c>
      <c r="E103" s="482">
        <f t="shared" si="18"/>
        <v>63009</v>
      </c>
      <c r="F103" s="483">
        <f t="shared" si="19"/>
        <v>2145049.8200000003</v>
      </c>
      <c r="G103" s="483">
        <f t="shared" si="20"/>
        <v>2176554.3200000003</v>
      </c>
      <c r="H103" s="484">
        <f t="shared" si="21"/>
        <v>311630.38578872563</v>
      </c>
      <c r="I103" s="540">
        <f t="shared" si="22"/>
        <v>311630.38578872563</v>
      </c>
      <c r="J103" s="476">
        <f t="shared" si="15"/>
        <v>0</v>
      </c>
      <c r="K103" s="476"/>
      <c r="L103" s="485"/>
      <c r="M103" s="476">
        <f t="shared" si="23"/>
        <v>0</v>
      </c>
      <c r="N103" s="485"/>
      <c r="O103" s="476">
        <f t="shared" si="13"/>
        <v>0</v>
      </c>
      <c r="P103" s="476">
        <f t="shared" si="14"/>
        <v>0</v>
      </c>
    </row>
    <row r="104" spans="1:16" ht="12.5">
      <c r="B104" s="160" t="str">
        <f t="shared" si="16"/>
        <v/>
      </c>
      <c r="C104" s="470">
        <f>IF(D93="","-",+C103+1)</f>
        <v>2025</v>
      </c>
      <c r="D104" s="345">
        <f>IF(F103+SUM(E$99:E103)=D$92,F103,D$92-SUM(E$99:E103))</f>
        <v>2145049.8200000003</v>
      </c>
      <c r="E104" s="482">
        <f t="shared" si="18"/>
        <v>63009</v>
      </c>
      <c r="F104" s="483">
        <f t="shared" si="19"/>
        <v>2082040.8200000003</v>
      </c>
      <c r="G104" s="483">
        <f t="shared" si="20"/>
        <v>2113545.3200000003</v>
      </c>
      <c r="H104" s="484">
        <f t="shared" si="21"/>
        <v>304433.0534027543</v>
      </c>
      <c r="I104" s="540">
        <f t="shared" si="22"/>
        <v>304433.0534027543</v>
      </c>
      <c r="J104" s="476">
        <f t="shared" si="15"/>
        <v>0</v>
      </c>
      <c r="K104" s="476"/>
      <c r="L104" s="485"/>
      <c r="M104" s="476">
        <f t="shared" si="23"/>
        <v>0</v>
      </c>
      <c r="N104" s="485"/>
      <c r="O104" s="476">
        <f t="shared" si="13"/>
        <v>0</v>
      </c>
      <c r="P104" s="476">
        <f t="shared" si="14"/>
        <v>0</v>
      </c>
    </row>
    <row r="105" spans="1:16" ht="12.5">
      <c r="B105" s="160" t="str">
        <f t="shared" si="16"/>
        <v/>
      </c>
      <c r="C105" s="470">
        <f>IF(D93="","-",+C104+1)</f>
        <v>2026</v>
      </c>
      <c r="D105" s="345">
        <f>IF(F104+SUM(E$99:E104)=D$92,F104,D$92-SUM(E$99:E104))</f>
        <v>2082040.8200000003</v>
      </c>
      <c r="E105" s="482">
        <f t="shared" si="18"/>
        <v>63009</v>
      </c>
      <c r="F105" s="483">
        <f t="shared" si="19"/>
        <v>2019031.8200000003</v>
      </c>
      <c r="G105" s="483">
        <f t="shared" si="20"/>
        <v>2050536.3200000003</v>
      </c>
      <c r="H105" s="484">
        <f t="shared" si="21"/>
        <v>297235.72101678298</v>
      </c>
      <c r="I105" s="540">
        <f t="shared" si="22"/>
        <v>297235.72101678298</v>
      </c>
      <c r="J105" s="476">
        <f t="shared" si="15"/>
        <v>0</v>
      </c>
      <c r="K105" s="476"/>
      <c r="L105" s="485"/>
      <c r="M105" s="476">
        <f t="shared" si="23"/>
        <v>0</v>
      </c>
      <c r="N105" s="485"/>
      <c r="O105" s="476">
        <f t="shared" si="13"/>
        <v>0</v>
      </c>
      <c r="P105" s="476">
        <f t="shared" si="14"/>
        <v>0</v>
      </c>
    </row>
    <row r="106" spans="1:16" ht="12.5">
      <c r="B106" s="160" t="str">
        <f t="shared" si="16"/>
        <v/>
      </c>
      <c r="C106" s="470">
        <f>IF(D93="","-",+C105+1)</f>
        <v>2027</v>
      </c>
      <c r="D106" s="345">
        <f>IF(F105+SUM(E$99:E105)=D$92,F105,D$92-SUM(E$99:E105))</f>
        <v>2019031.8200000003</v>
      </c>
      <c r="E106" s="482">
        <f t="shared" si="18"/>
        <v>63009</v>
      </c>
      <c r="F106" s="483">
        <f t="shared" si="19"/>
        <v>1956022.8200000003</v>
      </c>
      <c r="G106" s="483">
        <f t="shared" si="20"/>
        <v>1987527.3200000003</v>
      </c>
      <c r="H106" s="484">
        <f t="shared" si="21"/>
        <v>290038.38863081165</v>
      </c>
      <c r="I106" s="540">
        <f t="shared" si="22"/>
        <v>290038.38863081165</v>
      </c>
      <c r="J106" s="476">
        <f t="shared" si="15"/>
        <v>0</v>
      </c>
      <c r="K106" s="476"/>
      <c r="L106" s="485"/>
      <c r="M106" s="476">
        <f t="shared" si="23"/>
        <v>0</v>
      </c>
      <c r="N106" s="485"/>
      <c r="O106" s="476">
        <f t="shared" si="13"/>
        <v>0</v>
      </c>
      <c r="P106" s="476">
        <f t="shared" si="14"/>
        <v>0</v>
      </c>
    </row>
    <row r="107" spans="1:16" ht="12.5">
      <c r="B107" s="160" t="str">
        <f t="shared" si="16"/>
        <v/>
      </c>
      <c r="C107" s="470">
        <f>IF(D93="","-",+C106+1)</f>
        <v>2028</v>
      </c>
      <c r="D107" s="345">
        <f>IF(F106+SUM(E$99:E106)=D$92,F106,D$92-SUM(E$99:E106))</f>
        <v>1956022.8200000003</v>
      </c>
      <c r="E107" s="482">
        <f t="shared" si="18"/>
        <v>63009</v>
      </c>
      <c r="F107" s="483">
        <f t="shared" si="19"/>
        <v>1893013.8200000003</v>
      </c>
      <c r="G107" s="483">
        <f t="shared" si="20"/>
        <v>1924518.3200000003</v>
      </c>
      <c r="H107" s="484">
        <f t="shared" si="21"/>
        <v>282841.05624484026</v>
      </c>
      <c r="I107" s="540">
        <f t="shared" si="22"/>
        <v>282841.05624484026</v>
      </c>
      <c r="J107" s="476">
        <f t="shared" si="15"/>
        <v>0</v>
      </c>
      <c r="K107" s="476"/>
      <c r="L107" s="485"/>
      <c r="M107" s="476">
        <f t="shared" si="23"/>
        <v>0</v>
      </c>
      <c r="N107" s="485"/>
      <c r="O107" s="476">
        <f t="shared" si="13"/>
        <v>0</v>
      </c>
      <c r="P107" s="476">
        <f t="shared" si="14"/>
        <v>0</v>
      </c>
    </row>
    <row r="108" spans="1:16" ht="12.5">
      <c r="B108" s="160" t="str">
        <f t="shared" si="16"/>
        <v/>
      </c>
      <c r="C108" s="470">
        <f>IF(D93="","-",+C107+1)</f>
        <v>2029</v>
      </c>
      <c r="D108" s="345">
        <f>IF(F107+SUM(E$99:E107)=D$92,F107,D$92-SUM(E$99:E107))</f>
        <v>1893013.8200000003</v>
      </c>
      <c r="E108" s="482">
        <f t="shared" si="18"/>
        <v>63009</v>
      </c>
      <c r="F108" s="483">
        <f t="shared" si="19"/>
        <v>1830004.8200000003</v>
      </c>
      <c r="G108" s="483">
        <f t="shared" si="20"/>
        <v>1861509.3200000003</v>
      </c>
      <c r="H108" s="484">
        <f t="shared" si="21"/>
        <v>275643.72385886894</v>
      </c>
      <c r="I108" s="540">
        <f t="shared" si="22"/>
        <v>275643.72385886894</v>
      </c>
      <c r="J108" s="476">
        <f t="shared" si="15"/>
        <v>0</v>
      </c>
      <c r="K108" s="476"/>
      <c r="L108" s="485"/>
      <c r="M108" s="476">
        <f t="shared" si="23"/>
        <v>0</v>
      </c>
      <c r="N108" s="485"/>
      <c r="O108" s="476">
        <f t="shared" si="13"/>
        <v>0</v>
      </c>
      <c r="P108" s="476">
        <f t="shared" si="14"/>
        <v>0</v>
      </c>
    </row>
    <row r="109" spans="1:16" ht="12.5">
      <c r="B109" s="160" t="str">
        <f t="shared" si="16"/>
        <v/>
      </c>
      <c r="C109" s="470">
        <f>IF(D93="","-",+C108+1)</f>
        <v>2030</v>
      </c>
      <c r="D109" s="345">
        <f>IF(F108+SUM(E$99:E108)=D$92,F108,D$92-SUM(E$99:E108))</f>
        <v>1830004.8200000003</v>
      </c>
      <c r="E109" s="482">
        <f t="shared" si="18"/>
        <v>63009</v>
      </c>
      <c r="F109" s="483">
        <f t="shared" si="19"/>
        <v>1766995.8200000003</v>
      </c>
      <c r="G109" s="483">
        <f t="shared" si="20"/>
        <v>1798500.3200000003</v>
      </c>
      <c r="H109" s="484">
        <f t="shared" si="21"/>
        <v>268446.39147289761</v>
      </c>
      <c r="I109" s="540">
        <f t="shared" si="22"/>
        <v>268446.39147289761</v>
      </c>
      <c r="J109" s="476">
        <f t="shared" si="15"/>
        <v>0</v>
      </c>
      <c r="K109" s="476"/>
      <c r="L109" s="485"/>
      <c r="M109" s="476">
        <f t="shared" si="23"/>
        <v>0</v>
      </c>
      <c r="N109" s="485"/>
      <c r="O109" s="476">
        <f t="shared" si="13"/>
        <v>0</v>
      </c>
      <c r="P109" s="476">
        <f t="shared" si="14"/>
        <v>0</v>
      </c>
    </row>
    <row r="110" spans="1:16" ht="12.5">
      <c r="B110" s="160" t="str">
        <f t="shared" si="16"/>
        <v/>
      </c>
      <c r="C110" s="470">
        <f>IF(D93="","-",+C109+1)</f>
        <v>2031</v>
      </c>
      <c r="D110" s="345">
        <f>IF(F109+SUM(E$99:E109)=D$92,F109,D$92-SUM(E$99:E109))</f>
        <v>1766995.8200000003</v>
      </c>
      <c r="E110" s="482">
        <f t="shared" si="18"/>
        <v>63009</v>
      </c>
      <c r="F110" s="483">
        <f t="shared" si="19"/>
        <v>1703986.8200000003</v>
      </c>
      <c r="G110" s="483">
        <f t="shared" si="20"/>
        <v>1735491.3200000003</v>
      </c>
      <c r="H110" s="484">
        <f t="shared" si="21"/>
        <v>261249.05908692631</v>
      </c>
      <c r="I110" s="540">
        <f t="shared" si="22"/>
        <v>261249.05908692631</v>
      </c>
      <c r="J110" s="476">
        <f t="shared" si="15"/>
        <v>0</v>
      </c>
      <c r="K110" s="476"/>
      <c r="L110" s="485"/>
      <c r="M110" s="476">
        <f t="shared" si="23"/>
        <v>0</v>
      </c>
      <c r="N110" s="485"/>
      <c r="O110" s="476">
        <f t="shared" si="13"/>
        <v>0</v>
      </c>
      <c r="P110" s="476">
        <f t="shared" si="14"/>
        <v>0</v>
      </c>
    </row>
    <row r="111" spans="1:16" ht="12.5">
      <c r="B111" s="160" t="str">
        <f t="shared" si="16"/>
        <v/>
      </c>
      <c r="C111" s="470">
        <f>IF(D93="","-",+C110+1)</f>
        <v>2032</v>
      </c>
      <c r="D111" s="345">
        <f>IF(F110+SUM(E$99:E110)=D$92,F110,D$92-SUM(E$99:E110))</f>
        <v>1703986.8200000003</v>
      </c>
      <c r="E111" s="482">
        <f t="shared" si="18"/>
        <v>63009</v>
      </c>
      <c r="F111" s="483">
        <f t="shared" si="19"/>
        <v>1640977.8200000003</v>
      </c>
      <c r="G111" s="483">
        <f t="shared" si="20"/>
        <v>1672482.3200000003</v>
      </c>
      <c r="H111" s="484">
        <f t="shared" si="21"/>
        <v>254051.72670095498</v>
      </c>
      <c r="I111" s="540">
        <f t="shared" si="22"/>
        <v>254051.72670095498</v>
      </c>
      <c r="J111" s="476">
        <f t="shared" si="15"/>
        <v>0</v>
      </c>
      <c r="K111" s="476"/>
      <c r="L111" s="485"/>
      <c r="M111" s="476">
        <f t="shared" si="23"/>
        <v>0</v>
      </c>
      <c r="N111" s="485"/>
      <c r="O111" s="476">
        <f t="shared" si="13"/>
        <v>0</v>
      </c>
      <c r="P111" s="476">
        <f t="shared" si="14"/>
        <v>0</v>
      </c>
    </row>
    <row r="112" spans="1:16" ht="12.5">
      <c r="B112" s="160" t="str">
        <f t="shared" si="16"/>
        <v/>
      </c>
      <c r="C112" s="470">
        <f>IF(D93="","-",+C111+1)</f>
        <v>2033</v>
      </c>
      <c r="D112" s="345">
        <f>IF(F111+SUM(E$99:E111)=D$92,F111,D$92-SUM(E$99:E111))</f>
        <v>1640977.8200000003</v>
      </c>
      <c r="E112" s="482">
        <f t="shared" si="18"/>
        <v>63009</v>
      </c>
      <c r="F112" s="483">
        <f t="shared" si="19"/>
        <v>1577968.8200000003</v>
      </c>
      <c r="G112" s="483">
        <f t="shared" si="20"/>
        <v>1609473.3200000003</v>
      </c>
      <c r="H112" s="484">
        <f t="shared" si="21"/>
        <v>246854.39431498366</v>
      </c>
      <c r="I112" s="540">
        <f t="shared" si="22"/>
        <v>246854.39431498366</v>
      </c>
      <c r="J112" s="476">
        <f t="shared" si="15"/>
        <v>0</v>
      </c>
      <c r="K112" s="476"/>
      <c r="L112" s="485"/>
      <c r="M112" s="476">
        <f t="shared" si="23"/>
        <v>0</v>
      </c>
      <c r="N112" s="485"/>
      <c r="O112" s="476">
        <f t="shared" si="13"/>
        <v>0</v>
      </c>
      <c r="P112" s="476">
        <f t="shared" si="14"/>
        <v>0</v>
      </c>
    </row>
    <row r="113" spans="2:16" ht="12.5">
      <c r="B113" s="160" t="str">
        <f t="shared" si="16"/>
        <v/>
      </c>
      <c r="C113" s="470">
        <f>IF(D93="","-",+C112+1)</f>
        <v>2034</v>
      </c>
      <c r="D113" s="345">
        <f>IF(F112+SUM(E$99:E112)=D$92,F112,D$92-SUM(E$99:E112))</f>
        <v>1577968.8200000003</v>
      </c>
      <c r="E113" s="482">
        <f t="shared" si="18"/>
        <v>63009</v>
      </c>
      <c r="F113" s="483">
        <f t="shared" si="19"/>
        <v>1514959.8200000003</v>
      </c>
      <c r="G113" s="483">
        <f t="shared" si="20"/>
        <v>1546464.3200000003</v>
      </c>
      <c r="H113" s="484">
        <f t="shared" si="21"/>
        <v>239657.0619290123</v>
      </c>
      <c r="I113" s="540">
        <f t="shared" si="22"/>
        <v>239657.0619290123</v>
      </c>
      <c r="J113" s="476">
        <f t="shared" si="15"/>
        <v>0</v>
      </c>
      <c r="K113" s="476"/>
      <c r="L113" s="485"/>
      <c r="M113" s="476">
        <f t="shared" si="23"/>
        <v>0</v>
      </c>
      <c r="N113" s="485"/>
      <c r="O113" s="476">
        <f t="shared" si="13"/>
        <v>0</v>
      </c>
      <c r="P113" s="476">
        <f t="shared" si="14"/>
        <v>0</v>
      </c>
    </row>
    <row r="114" spans="2:16" ht="12.5">
      <c r="B114" s="160" t="str">
        <f t="shared" si="16"/>
        <v/>
      </c>
      <c r="C114" s="470">
        <f>IF(D93="","-",+C113+1)</f>
        <v>2035</v>
      </c>
      <c r="D114" s="345">
        <f>IF(F113+SUM(E$99:E113)=D$92,F113,D$92-SUM(E$99:E113))</f>
        <v>1514959.8200000003</v>
      </c>
      <c r="E114" s="482">
        <f t="shared" si="18"/>
        <v>63009</v>
      </c>
      <c r="F114" s="483">
        <f t="shared" si="19"/>
        <v>1451950.8200000003</v>
      </c>
      <c r="G114" s="483">
        <f t="shared" si="20"/>
        <v>1483455.3200000003</v>
      </c>
      <c r="H114" s="484">
        <f t="shared" si="21"/>
        <v>232459.72954304097</v>
      </c>
      <c r="I114" s="540">
        <f t="shared" si="22"/>
        <v>232459.72954304097</v>
      </c>
      <c r="J114" s="476">
        <f t="shared" si="15"/>
        <v>0</v>
      </c>
      <c r="K114" s="476"/>
      <c r="L114" s="485"/>
      <c r="M114" s="476">
        <f t="shared" si="23"/>
        <v>0</v>
      </c>
      <c r="N114" s="485"/>
      <c r="O114" s="476">
        <f t="shared" si="13"/>
        <v>0</v>
      </c>
      <c r="P114" s="476">
        <f t="shared" si="14"/>
        <v>0</v>
      </c>
    </row>
    <row r="115" spans="2:16" ht="12.5">
      <c r="B115" s="160" t="str">
        <f t="shared" si="16"/>
        <v/>
      </c>
      <c r="C115" s="470">
        <f>IF(D93="","-",+C114+1)</f>
        <v>2036</v>
      </c>
      <c r="D115" s="345">
        <f>IF(F114+SUM(E$99:E114)=D$92,F114,D$92-SUM(E$99:E114))</f>
        <v>1451950.8200000003</v>
      </c>
      <c r="E115" s="482">
        <f t="shared" si="18"/>
        <v>63009</v>
      </c>
      <c r="F115" s="483">
        <f t="shared" si="19"/>
        <v>1388941.8200000003</v>
      </c>
      <c r="G115" s="483">
        <f t="shared" si="20"/>
        <v>1420446.3200000003</v>
      </c>
      <c r="H115" s="484">
        <f t="shared" si="21"/>
        <v>225262.39715706964</v>
      </c>
      <c r="I115" s="540">
        <f t="shared" si="22"/>
        <v>225262.39715706964</v>
      </c>
      <c r="J115" s="476">
        <f t="shared" si="15"/>
        <v>0</v>
      </c>
      <c r="K115" s="476"/>
      <c r="L115" s="485"/>
      <c r="M115" s="476">
        <f t="shared" si="23"/>
        <v>0</v>
      </c>
      <c r="N115" s="485"/>
      <c r="O115" s="476">
        <f t="shared" si="13"/>
        <v>0</v>
      </c>
      <c r="P115" s="476">
        <f t="shared" si="14"/>
        <v>0</v>
      </c>
    </row>
    <row r="116" spans="2:16" ht="12.5">
      <c r="B116" s="160" t="str">
        <f t="shared" si="16"/>
        <v/>
      </c>
      <c r="C116" s="470">
        <f>IF(D93="","-",+C115+1)</f>
        <v>2037</v>
      </c>
      <c r="D116" s="345">
        <f>IF(F115+SUM(E$99:E115)=D$92,F115,D$92-SUM(E$99:E115))</f>
        <v>1388941.8200000003</v>
      </c>
      <c r="E116" s="482">
        <f t="shared" si="18"/>
        <v>63009</v>
      </c>
      <c r="F116" s="483">
        <f t="shared" si="19"/>
        <v>1325932.8200000003</v>
      </c>
      <c r="G116" s="483">
        <f t="shared" si="20"/>
        <v>1357437.3200000003</v>
      </c>
      <c r="H116" s="484">
        <f t="shared" si="21"/>
        <v>218065.06477109832</v>
      </c>
      <c r="I116" s="540">
        <f t="shared" si="22"/>
        <v>218065.06477109832</v>
      </c>
      <c r="J116" s="476">
        <f t="shared" si="15"/>
        <v>0</v>
      </c>
      <c r="K116" s="476"/>
      <c r="L116" s="485"/>
      <c r="M116" s="476">
        <f t="shared" si="23"/>
        <v>0</v>
      </c>
      <c r="N116" s="485"/>
      <c r="O116" s="476">
        <f t="shared" si="13"/>
        <v>0</v>
      </c>
      <c r="P116" s="476">
        <f t="shared" si="14"/>
        <v>0</v>
      </c>
    </row>
    <row r="117" spans="2:16" ht="12.5">
      <c r="B117" s="160" t="str">
        <f t="shared" si="16"/>
        <v/>
      </c>
      <c r="C117" s="470">
        <f>IF(D93="","-",+C116+1)</f>
        <v>2038</v>
      </c>
      <c r="D117" s="345">
        <f>IF(F116+SUM(E$99:E116)=D$92,F116,D$92-SUM(E$99:E116))</f>
        <v>1325932.8200000003</v>
      </c>
      <c r="E117" s="482">
        <f t="shared" si="18"/>
        <v>63009</v>
      </c>
      <c r="F117" s="483">
        <f t="shared" si="19"/>
        <v>1262923.8200000003</v>
      </c>
      <c r="G117" s="483">
        <f t="shared" si="20"/>
        <v>1294428.3200000003</v>
      </c>
      <c r="H117" s="484">
        <f t="shared" si="21"/>
        <v>210867.73238512699</v>
      </c>
      <c r="I117" s="540">
        <f t="shared" si="22"/>
        <v>210867.73238512699</v>
      </c>
      <c r="J117" s="476">
        <f t="shared" si="15"/>
        <v>0</v>
      </c>
      <c r="K117" s="476"/>
      <c r="L117" s="485"/>
      <c r="M117" s="476">
        <f t="shared" si="23"/>
        <v>0</v>
      </c>
      <c r="N117" s="485"/>
      <c r="O117" s="476">
        <f t="shared" si="13"/>
        <v>0</v>
      </c>
      <c r="P117" s="476">
        <f t="shared" si="14"/>
        <v>0</v>
      </c>
    </row>
    <row r="118" spans="2:16" ht="12.5">
      <c r="B118" s="160" t="str">
        <f t="shared" si="16"/>
        <v/>
      </c>
      <c r="C118" s="470">
        <f>IF(D93="","-",+C117+1)</f>
        <v>2039</v>
      </c>
      <c r="D118" s="345">
        <f>IF(F117+SUM(E$99:E117)=D$92,F117,D$92-SUM(E$99:E117))</f>
        <v>1262923.8200000003</v>
      </c>
      <c r="E118" s="482">
        <f t="shared" si="18"/>
        <v>63009</v>
      </c>
      <c r="F118" s="483">
        <f t="shared" si="19"/>
        <v>1199914.8200000003</v>
      </c>
      <c r="G118" s="483">
        <f t="shared" si="20"/>
        <v>1231419.3200000003</v>
      </c>
      <c r="H118" s="484">
        <f t="shared" si="21"/>
        <v>203670.39999915563</v>
      </c>
      <c r="I118" s="540">
        <f t="shared" si="22"/>
        <v>203670.39999915563</v>
      </c>
      <c r="J118" s="476">
        <f t="shared" si="15"/>
        <v>0</v>
      </c>
      <c r="K118" s="476"/>
      <c r="L118" s="485"/>
      <c r="M118" s="476">
        <f t="shared" si="23"/>
        <v>0</v>
      </c>
      <c r="N118" s="485"/>
      <c r="O118" s="476">
        <f t="shared" si="13"/>
        <v>0</v>
      </c>
      <c r="P118" s="476">
        <f t="shared" si="14"/>
        <v>0</v>
      </c>
    </row>
    <row r="119" spans="2:16" ht="12.5">
      <c r="B119" s="160" t="str">
        <f t="shared" si="16"/>
        <v/>
      </c>
      <c r="C119" s="470">
        <f>IF(D93="","-",+C118+1)</f>
        <v>2040</v>
      </c>
      <c r="D119" s="345">
        <f>IF(F118+SUM(E$99:E118)=D$92,F118,D$92-SUM(E$99:E118))</f>
        <v>1199914.8200000003</v>
      </c>
      <c r="E119" s="482">
        <f t="shared" si="18"/>
        <v>63009</v>
      </c>
      <c r="F119" s="483">
        <f t="shared" si="19"/>
        <v>1136905.8200000003</v>
      </c>
      <c r="G119" s="483">
        <f t="shared" si="20"/>
        <v>1168410.3200000003</v>
      </c>
      <c r="H119" s="484">
        <f t="shared" si="21"/>
        <v>196473.06761318431</v>
      </c>
      <c r="I119" s="540">
        <f t="shared" si="22"/>
        <v>196473.06761318431</v>
      </c>
      <c r="J119" s="476">
        <f t="shared" si="15"/>
        <v>0</v>
      </c>
      <c r="K119" s="476"/>
      <c r="L119" s="485"/>
      <c r="M119" s="476">
        <f t="shared" si="23"/>
        <v>0</v>
      </c>
      <c r="N119" s="485"/>
      <c r="O119" s="476">
        <f t="shared" si="13"/>
        <v>0</v>
      </c>
      <c r="P119" s="476">
        <f t="shared" si="14"/>
        <v>0</v>
      </c>
    </row>
    <row r="120" spans="2:16" ht="12.5">
      <c r="B120" s="160" t="str">
        <f t="shared" si="16"/>
        <v/>
      </c>
      <c r="C120" s="470">
        <f>IF(D93="","-",+C119+1)</f>
        <v>2041</v>
      </c>
      <c r="D120" s="345">
        <f>IF(F119+SUM(E$99:E119)=D$92,F119,D$92-SUM(E$99:E119))</f>
        <v>1136905.8200000003</v>
      </c>
      <c r="E120" s="482">
        <f t="shared" si="18"/>
        <v>63009</v>
      </c>
      <c r="F120" s="483">
        <f t="shared" si="19"/>
        <v>1073896.8200000003</v>
      </c>
      <c r="G120" s="483">
        <f t="shared" si="20"/>
        <v>1105401.3200000003</v>
      </c>
      <c r="H120" s="484">
        <f t="shared" si="21"/>
        <v>189275.73522721298</v>
      </c>
      <c r="I120" s="540">
        <f t="shared" si="22"/>
        <v>189275.73522721298</v>
      </c>
      <c r="J120" s="476">
        <f t="shared" si="15"/>
        <v>0</v>
      </c>
      <c r="K120" s="476"/>
      <c r="L120" s="485"/>
      <c r="M120" s="476">
        <f t="shared" si="23"/>
        <v>0</v>
      </c>
      <c r="N120" s="485"/>
      <c r="O120" s="476">
        <f t="shared" si="13"/>
        <v>0</v>
      </c>
      <c r="P120" s="476">
        <f t="shared" si="14"/>
        <v>0</v>
      </c>
    </row>
    <row r="121" spans="2:16" ht="12.5">
      <c r="B121" s="160" t="str">
        <f t="shared" si="16"/>
        <v/>
      </c>
      <c r="C121" s="470">
        <f>IF(D93="","-",+C120+1)</f>
        <v>2042</v>
      </c>
      <c r="D121" s="345">
        <f>IF(F120+SUM(E$99:E120)=D$92,F120,D$92-SUM(E$99:E120))</f>
        <v>1073896.8200000003</v>
      </c>
      <c r="E121" s="482">
        <f t="shared" si="18"/>
        <v>63009</v>
      </c>
      <c r="F121" s="483">
        <f t="shared" si="19"/>
        <v>1010887.8200000003</v>
      </c>
      <c r="G121" s="483">
        <f t="shared" si="20"/>
        <v>1042392.3200000003</v>
      </c>
      <c r="H121" s="484">
        <f t="shared" si="21"/>
        <v>182078.40284124165</v>
      </c>
      <c r="I121" s="540">
        <f t="shared" si="22"/>
        <v>182078.40284124165</v>
      </c>
      <c r="J121" s="476">
        <f t="shared" si="15"/>
        <v>0</v>
      </c>
      <c r="K121" s="476"/>
      <c r="L121" s="485"/>
      <c r="M121" s="476">
        <f t="shared" si="23"/>
        <v>0</v>
      </c>
      <c r="N121" s="485"/>
      <c r="O121" s="476">
        <f t="shared" si="13"/>
        <v>0</v>
      </c>
      <c r="P121" s="476">
        <f t="shared" si="14"/>
        <v>0</v>
      </c>
    </row>
    <row r="122" spans="2:16" ht="12.5">
      <c r="B122" s="160" t="str">
        <f t="shared" si="16"/>
        <v/>
      </c>
      <c r="C122" s="470">
        <f>IF(D93="","-",+C121+1)</f>
        <v>2043</v>
      </c>
      <c r="D122" s="345">
        <f>IF(F121+SUM(E$99:E121)=D$92,F121,D$92-SUM(E$99:E121))</f>
        <v>1010887.8200000003</v>
      </c>
      <c r="E122" s="482">
        <f t="shared" si="18"/>
        <v>63009</v>
      </c>
      <c r="F122" s="483">
        <f t="shared" si="19"/>
        <v>947878.8200000003</v>
      </c>
      <c r="G122" s="483">
        <f t="shared" si="20"/>
        <v>979383.3200000003</v>
      </c>
      <c r="H122" s="484">
        <f t="shared" si="21"/>
        <v>174881.0704552703</v>
      </c>
      <c r="I122" s="540">
        <f t="shared" si="22"/>
        <v>174881.0704552703</v>
      </c>
      <c r="J122" s="476">
        <f t="shared" si="15"/>
        <v>0</v>
      </c>
      <c r="K122" s="476"/>
      <c r="L122" s="485"/>
      <c r="M122" s="476">
        <f t="shared" si="23"/>
        <v>0</v>
      </c>
      <c r="N122" s="485"/>
      <c r="O122" s="476">
        <f t="shared" si="13"/>
        <v>0</v>
      </c>
      <c r="P122" s="476">
        <f t="shared" si="14"/>
        <v>0</v>
      </c>
    </row>
    <row r="123" spans="2:16" ht="12.5">
      <c r="B123" s="160" t="str">
        <f t="shared" si="16"/>
        <v/>
      </c>
      <c r="C123" s="470">
        <f>IF(D93="","-",+C122+1)</f>
        <v>2044</v>
      </c>
      <c r="D123" s="345">
        <f>IF(F122+SUM(E$99:E122)=D$92,F122,D$92-SUM(E$99:E122))</f>
        <v>947878.8200000003</v>
      </c>
      <c r="E123" s="482">
        <f t="shared" si="18"/>
        <v>63009</v>
      </c>
      <c r="F123" s="483">
        <f t="shared" si="19"/>
        <v>884869.8200000003</v>
      </c>
      <c r="G123" s="483">
        <f t="shared" si="20"/>
        <v>916374.3200000003</v>
      </c>
      <c r="H123" s="484">
        <f t="shared" si="21"/>
        <v>167683.73806929897</v>
      </c>
      <c r="I123" s="540">
        <f t="shared" si="22"/>
        <v>167683.73806929897</v>
      </c>
      <c r="J123" s="476">
        <f t="shared" si="15"/>
        <v>0</v>
      </c>
      <c r="K123" s="476"/>
      <c r="L123" s="485"/>
      <c r="M123" s="476">
        <f t="shared" si="23"/>
        <v>0</v>
      </c>
      <c r="N123" s="485"/>
      <c r="O123" s="476">
        <f t="shared" si="13"/>
        <v>0</v>
      </c>
      <c r="P123" s="476">
        <f t="shared" si="14"/>
        <v>0</v>
      </c>
    </row>
    <row r="124" spans="2:16" ht="12.5">
      <c r="B124" s="160" t="str">
        <f t="shared" si="16"/>
        <v/>
      </c>
      <c r="C124" s="470">
        <f>IF(D93="","-",+C123+1)</f>
        <v>2045</v>
      </c>
      <c r="D124" s="345">
        <f>IF(F123+SUM(E$99:E123)=D$92,F123,D$92-SUM(E$99:E123))</f>
        <v>884869.8200000003</v>
      </c>
      <c r="E124" s="482">
        <f t="shared" si="18"/>
        <v>63009</v>
      </c>
      <c r="F124" s="483">
        <f t="shared" si="19"/>
        <v>821860.8200000003</v>
      </c>
      <c r="G124" s="483">
        <f t="shared" si="20"/>
        <v>853365.3200000003</v>
      </c>
      <c r="H124" s="484">
        <f t="shared" si="21"/>
        <v>160486.40568332764</v>
      </c>
      <c r="I124" s="540">
        <f t="shared" si="22"/>
        <v>160486.40568332764</v>
      </c>
      <c r="J124" s="476">
        <f t="shared" si="15"/>
        <v>0</v>
      </c>
      <c r="K124" s="476"/>
      <c r="L124" s="485"/>
      <c r="M124" s="476">
        <f t="shared" si="23"/>
        <v>0</v>
      </c>
      <c r="N124" s="485"/>
      <c r="O124" s="476">
        <f t="shared" si="13"/>
        <v>0</v>
      </c>
      <c r="P124" s="476">
        <f t="shared" si="14"/>
        <v>0</v>
      </c>
    </row>
    <row r="125" spans="2:16" ht="12.5">
      <c r="B125" s="160" t="str">
        <f t="shared" si="16"/>
        <v/>
      </c>
      <c r="C125" s="470">
        <f>IF(D93="","-",+C124+1)</f>
        <v>2046</v>
      </c>
      <c r="D125" s="345">
        <f>IF(F124+SUM(E$99:E124)=D$92,F124,D$92-SUM(E$99:E124))</f>
        <v>821860.8200000003</v>
      </c>
      <c r="E125" s="482">
        <f t="shared" si="18"/>
        <v>63009</v>
      </c>
      <c r="F125" s="483">
        <f t="shared" si="19"/>
        <v>758851.8200000003</v>
      </c>
      <c r="G125" s="483">
        <f t="shared" si="20"/>
        <v>790356.3200000003</v>
      </c>
      <c r="H125" s="484">
        <f t="shared" si="21"/>
        <v>153289.07329735631</v>
      </c>
      <c r="I125" s="540">
        <f t="shared" si="22"/>
        <v>153289.07329735631</v>
      </c>
      <c r="J125" s="476">
        <f t="shared" si="15"/>
        <v>0</v>
      </c>
      <c r="K125" s="476"/>
      <c r="L125" s="485"/>
      <c r="M125" s="476">
        <f t="shared" si="23"/>
        <v>0</v>
      </c>
      <c r="N125" s="485"/>
      <c r="O125" s="476">
        <f t="shared" si="13"/>
        <v>0</v>
      </c>
      <c r="P125" s="476">
        <f t="shared" si="14"/>
        <v>0</v>
      </c>
    </row>
    <row r="126" spans="2:16" ht="12.5">
      <c r="B126" s="160" t="str">
        <f t="shared" si="16"/>
        <v/>
      </c>
      <c r="C126" s="470">
        <f>IF(D93="","-",+C125+1)</f>
        <v>2047</v>
      </c>
      <c r="D126" s="345">
        <f>IF(F125+SUM(E$99:E125)=D$92,F125,D$92-SUM(E$99:E125))</f>
        <v>758851.8200000003</v>
      </c>
      <c r="E126" s="482">
        <f t="shared" si="18"/>
        <v>63009</v>
      </c>
      <c r="F126" s="483">
        <f t="shared" si="19"/>
        <v>695842.8200000003</v>
      </c>
      <c r="G126" s="483">
        <f t="shared" si="20"/>
        <v>727347.3200000003</v>
      </c>
      <c r="H126" s="484">
        <f t="shared" si="21"/>
        <v>146091.74091138499</v>
      </c>
      <c r="I126" s="540">
        <f t="shared" si="22"/>
        <v>146091.74091138499</v>
      </c>
      <c r="J126" s="476">
        <f t="shared" si="15"/>
        <v>0</v>
      </c>
      <c r="K126" s="476"/>
      <c r="L126" s="485"/>
      <c r="M126" s="476">
        <f t="shared" si="23"/>
        <v>0</v>
      </c>
      <c r="N126" s="485"/>
      <c r="O126" s="476">
        <f t="shared" si="13"/>
        <v>0</v>
      </c>
      <c r="P126" s="476">
        <f t="shared" si="14"/>
        <v>0</v>
      </c>
    </row>
    <row r="127" spans="2:16" ht="12.5">
      <c r="B127" s="160" t="str">
        <f t="shared" si="16"/>
        <v/>
      </c>
      <c r="C127" s="470">
        <f>IF(D93="","-",+C126+1)</f>
        <v>2048</v>
      </c>
      <c r="D127" s="345">
        <f>IF(F126+SUM(E$99:E126)=D$92,F126,D$92-SUM(E$99:E126))</f>
        <v>695842.8200000003</v>
      </c>
      <c r="E127" s="482">
        <f t="shared" si="18"/>
        <v>63009</v>
      </c>
      <c r="F127" s="483">
        <f t="shared" si="19"/>
        <v>632833.8200000003</v>
      </c>
      <c r="G127" s="483">
        <f t="shared" si="20"/>
        <v>664338.3200000003</v>
      </c>
      <c r="H127" s="484">
        <f t="shared" si="21"/>
        <v>138894.40852541366</v>
      </c>
      <c r="I127" s="540">
        <f t="shared" si="22"/>
        <v>138894.40852541366</v>
      </c>
      <c r="J127" s="476">
        <f t="shared" si="15"/>
        <v>0</v>
      </c>
      <c r="K127" s="476"/>
      <c r="L127" s="485"/>
      <c r="M127" s="476">
        <f t="shared" si="23"/>
        <v>0</v>
      </c>
      <c r="N127" s="485"/>
      <c r="O127" s="476">
        <f t="shared" si="13"/>
        <v>0</v>
      </c>
      <c r="P127" s="476">
        <f t="shared" si="14"/>
        <v>0</v>
      </c>
    </row>
    <row r="128" spans="2:16" ht="12.5">
      <c r="B128" s="160" t="str">
        <f t="shared" si="16"/>
        <v/>
      </c>
      <c r="C128" s="470">
        <f>IF(D93="","-",+C127+1)</f>
        <v>2049</v>
      </c>
      <c r="D128" s="345">
        <f>IF(F127+SUM(E$99:E127)=D$92,F127,D$92-SUM(E$99:E127))</f>
        <v>632833.8200000003</v>
      </c>
      <c r="E128" s="482">
        <f t="shared" si="18"/>
        <v>63009</v>
      </c>
      <c r="F128" s="483">
        <f t="shared" si="19"/>
        <v>569824.8200000003</v>
      </c>
      <c r="G128" s="483">
        <f t="shared" si="20"/>
        <v>601329.3200000003</v>
      </c>
      <c r="H128" s="484">
        <f t="shared" si="21"/>
        <v>131697.07613944233</v>
      </c>
      <c r="I128" s="540">
        <f t="shared" si="22"/>
        <v>131697.07613944233</v>
      </c>
      <c r="J128" s="476">
        <f t="shared" si="15"/>
        <v>0</v>
      </c>
      <c r="K128" s="476"/>
      <c r="L128" s="485"/>
      <c r="M128" s="476">
        <f t="shared" si="23"/>
        <v>0</v>
      </c>
      <c r="N128" s="485"/>
      <c r="O128" s="476">
        <f t="shared" si="13"/>
        <v>0</v>
      </c>
      <c r="P128" s="476">
        <f t="shared" si="14"/>
        <v>0</v>
      </c>
    </row>
    <row r="129" spans="2:16" ht="12.5">
      <c r="B129" s="160" t="str">
        <f t="shared" si="16"/>
        <v/>
      </c>
      <c r="C129" s="470">
        <f>IF(D93="","-",+C128+1)</f>
        <v>2050</v>
      </c>
      <c r="D129" s="345">
        <f>IF(F128+SUM(E$99:E128)=D$92,F128,D$92-SUM(E$99:E128))</f>
        <v>569824.8200000003</v>
      </c>
      <c r="E129" s="482">
        <f t="shared" si="18"/>
        <v>63009</v>
      </c>
      <c r="F129" s="483">
        <f t="shared" si="19"/>
        <v>506815.8200000003</v>
      </c>
      <c r="G129" s="483">
        <f t="shared" si="20"/>
        <v>538320.3200000003</v>
      </c>
      <c r="H129" s="484">
        <f t="shared" si="21"/>
        <v>124499.74375347099</v>
      </c>
      <c r="I129" s="540">
        <f t="shared" si="22"/>
        <v>124499.74375347099</v>
      </c>
      <c r="J129" s="476">
        <f t="shared" si="15"/>
        <v>0</v>
      </c>
      <c r="K129" s="476"/>
      <c r="L129" s="485"/>
      <c r="M129" s="476">
        <f t="shared" si="23"/>
        <v>0</v>
      </c>
      <c r="N129" s="485"/>
      <c r="O129" s="476">
        <f t="shared" si="13"/>
        <v>0</v>
      </c>
      <c r="P129" s="476">
        <f t="shared" si="14"/>
        <v>0</v>
      </c>
    </row>
    <row r="130" spans="2:16" ht="12.5">
      <c r="B130" s="160" t="str">
        <f t="shared" si="16"/>
        <v/>
      </c>
      <c r="C130" s="470">
        <f>IF(D93="","-",+C129+1)</f>
        <v>2051</v>
      </c>
      <c r="D130" s="345">
        <f>IF(F129+SUM(E$99:E129)=D$92,F129,D$92-SUM(E$99:E129))</f>
        <v>506815.8200000003</v>
      </c>
      <c r="E130" s="482">
        <f t="shared" si="18"/>
        <v>63009</v>
      </c>
      <c r="F130" s="483">
        <f t="shared" si="19"/>
        <v>443806.8200000003</v>
      </c>
      <c r="G130" s="483">
        <f t="shared" si="20"/>
        <v>475311.3200000003</v>
      </c>
      <c r="H130" s="484">
        <f t="shared" si="21"/>
        <v>117302.41136749965</v>
      </c>
      <c r="I130" s="540">
        <f t="shared" si="22"/>
        <v>117302.41136749965</v>
      </c>
      <c r="J130" s="476">
        <f t="shared" si="15"/>
        <v>0</v>
      </c>
      <c r="K130" s="476"/>
      <c r="L130" s="485"/>
      <c r="M130" s="476">
        <f t="shared" si="23"/>
        <v>0</v>
      </c>
      <c r="N130" s="485"/>
      <c r="O130" s="476">
        <f t="shared" si="13"/>
        <v>0</v>
      </c>
      <c r="P130" s="476">
        <f t="shared" si="14"/>
        <v>0</v>
      </c>
    </row>
    <row r="131" spans="2:16" ht="12.5">
      <c r="B131" s="160" t="str">
        <f t="shared" si="16"/>
        <v/>
      </c>
      <c r="C131" s="470">
        <f>IF(D93="","-",+C130+1)</f>
        <v>2052</v>
      </c>
      <c r="D131" s="345">
        <f>IF(F130+SUM(E$99:E130)=D$92,F130,D$92-SUM(E$99:E130))</f>
        <v>443806.8200000003</v>
      </c>
      <c r="E131" s="482">
        <f t="shared" si="18"/>
        <v>63009</v>
      </c>
      <c r="F131" s="483">
        <f t="shared" si="19"/>
        <v>380797.8200000003</v>
      </c>
      <c r="G131" s="483">
        <f t="shared" si="20"/>
        <v>412302.3200000003</v>
      </c>
      <c r="H131" s="484">
        <f t="shared" si="21"/>
        <v>110105.07898152832</v>
      </c>
      <c r="I131" s="540">
        <f t="shared" si="22"/>
        <v>110105.07898152832</v>
      </c>
      <c r="J131" s="476">
        <f t="shared" ref="J131:J154" si="24">+I541-H541</f>
        <v>0</v>
      </c>
      <c r="K131" s="476"/>
      <c r="L131" s="485"/>
      <c r="M131" s="476">
        <f t="shared" ref="M131:M154" si="25">IF(L541&lt;&gt;0,+H541-L541,0)</f>
        <v>0</v>
      </c>
      <c r="N131" s="485"/>
      <c r="O131" s="476">
        <f t="shared" ref="O131:O154" si="26">IF(N541&lt;&gt;0,+I541-N541,0)</f>
        <v>0</v>
      </c>
      <c r="P131" s="476">
        <f t="shared" ref="P131:P154" si="27">+O541-M541</f>
        <v>0</v>
      </c>
    </row>
    <row r="132" spans="2:16" ht="12.5">
      <c r="B132" s="160" t="str">
        <f t="shared" si="16"/>
        <v/>
      </c>
      <c r="C132" s="470">
        <f>IF(D93="","-",+C131+1)</f>
        <v>2053</v>
      </c>
      <c r="D132" s="345">
        <f>IF(F131+SUM(E$99:E131)=D$92,F131,D$92-SUM(E$99:E131))</f>
        <v>380797.8200000003</v>
      </c>
      <c r="E132" s="482">
        <f t="shared" si="18"/>
        <v>63009</v>
      </c>
      <c r="F132" s="483">
        <f t="shared" si="19"/>
        <v>317788.8200000003</v>
      </c>
      <c r="G132" s="483">
        <f t="shared" si="20"/>
        <v>349293.3200000003</v>
      </c>
      <c r="H132" s="484">
        <f t="shared" si="21"/>
        <v>102907.74659555699</v>
      </c>
      <c r="I132" s="540">
        <f t="shared" si="22"/>
        <v>102907.74659555699</v>
      </c>
      <c r="J132" s="476">
        <f t="shared" si="24"/>
        <v>0</v>
      </c>
      <c r="K132" s="476"/>
      <c r="L132" s="485"/>
      <c r="M132" s="476">
        <f t="shared" si="25"/>
        <v>0</v>
      </c>
      <c r="N132" s="485"/>
      <c r="O132" s="476">
        <f t="shared" si="26"/>
        <v>0</v>
      </c>
      <c r="P132" s="476">
        <f t="shared" si="27"/>
        <v>0</v>
      </c>
    </row>
    <row r="133" spans="2:16" ht="12.5">
      <c r="B133" s="160" t="str">
        <f t="shared" si="16"/>
        <v/>
      </c>
      <c r="C133" s="470">
        <f>IF(D93="","-",+C132+1)</f>
        <v>2054</v>
      </c>
      <c r="D133" s="345">
        <f>IF(F132+SUM(E$99:E132)=D$92,F132,D$92-SUM(E$99:E132))</f>
        <v>317788.8200000003</v>
      </c>
      <c r="E133" s="482">
        <f t="shared" si="18"/>
        <v>63009</v>
      </c>
      <c r="F133" s="483">
        <f t="shared" si="19"/>
        <v>254779.8200000003</v>
      </c>
      <c r="G133" s="483">
        <f t="shared" si="20"/>
        <v>286284.3200000003</v>
      </c>
      <c r="H133" s="484">
        <f t="shared" si="21"/>
        <v>95710.414209585666</v>
      </c>
      <c r="I133" s="540">
        <f t="shared" si="22"/>
        <v>95710.414209585666</v>
      </c>
      <c r="J133" s="476">
        <f t="shared" si="24"/>
        <v>0</v>
      </c>
      <c r="K133" s="476"/>
      <c r="L133" s="485"/>
      <c r="M133" s="476">
        <f t="shared" si="25"/>
        <v>0</v>
      </c>
      <c r="N133" s="485"/>
      <c r="O133" s="476">
        <f t="shared" si="26"/>
        <v>0</v>
      </c>
      <c r="P133" s="476">
        <f t="shared" si="27"/>
        <v>0</v>
      </c>
    </row>
    <row r="134" spans="2:16" ht="12.5">
      <c r="B134" s="160" t="str">
        <f t="shared" si="16"/>
        <v/>
      </c>
      <c r="C134" s="470">
        <f>IF(D93="","-",+C133+1)</f>
        <v>2055</v>
      </c>
      <c r="D134" s="345">
        <f>IF(F133+SUM(E$99:E133)=D$92,F133,D$92-SUM(E$99:E133))</f>
        <v>254779.8200000003</v>
      </c>
      <c r="E134" s="482">
        <f t="shared" si="18"/>
        <v>63009</v>
      </c>
      <c r="F134" s="483">
        <f t="shared" si="19"/>
        <v>191770.8200000003</v>
      </c>
      <c r="G134" s="483">
        <f t="shared" si="20"/>
        <v>223275.3200000003</v>
      </c>
      <c r="H134" s="484">
        <f t="shared" si="21"/>
        <v>88513.081823614324</v>
      </c>
      <c r="I134" s="540">
        <f t="shared" si="22"/>
        <v>88513.081823614324</v>
      </c>
      <c r="J134" s="476">
        <f t="shared" si="24"/>
        <v>0</v>
      </c>
      <c r="K134" s="476"/>
      <c r="L134" s="485"/>
      <c r="M134" s="476">
        <f t="shared" si="25"/>
        <v>0</v>
      </c>
      <c r="N134" s="485"/>
      <c r="O134" s="476">
        <f t="shared" si="26"/>
        <v>0</v>
      </c>
      <c r="P134" s="476">
        <f t="shared" si="27"/>
        <v>0</v>
      </c>
    </row>
    <row r="135" spans="2:16" ht="12.5">
      <c r="B135" s="160" t="str">
        <f t="shared" si="16"/>
        <v/>
      </c>
      <c r="C135" s="470">
        <f>IF(D93="","-",+C134+1)</f>
        <v>2056</v>
      </c>
      <c r="D135" s="345">
        <f>IF(F134+SUM(E$99:E134)=D$92,F134,D$92-SUM(E$99:E134))</f>
        <v>191770.8200000003</v>
      </c>
      <c r="E135" s="482">
        <f t="shared" si="18"/>
        <v>63009</v>
      </c>
      <c r="F135" s="483">
        <f t="shared" si="19"/>
        <v>128761.8200000003</v>
      </c>
      <c r="G135" s="483">
        <f t="shared" si="20"/>
        <v>160266.3200000003</v>
      </c>
      <c r="H135" s="484">
        <f t="shared" si="21"/>
        <v>81315.749437642997</v>
      </c>
      <c r="I135" s="540">
        <f t="shared" si="22"/>
        <v>81315.749437642997</v>
      </c>
      <c r="J135" s="476">
        <f t="shared" si="24"/>
        <v>0</v>
      </c>
      <c r="K135" s="476"/>
      <c r="L135" s="485"/>
      <c r="M135" s="476">
        <f t="shared" si="25"/>
        <v>0</v>
      </c>
      <c r="N135" s="485"/>
      <c r="O135" s="476">
        <f t="shared" si="26"/>
        <v>0</v>
      </c>
      <c r="P135" s="476">
        <f t="shared" si="27"/>
        <v>0</v>
      </c>
    </row>
    <row r="136" spans="2:16" ht="12.5">
      <c r="B136" s="160" t="str">
        <f t="shared" si="16"/>
        <v/>
      </c>
      <c r="C136" s="470">
        <f>IF(D93="","-",+C135+1)</f>
        <v>2057</v>
      </c>
      <c r="D136" s="345">
        <f>IF(F135+SUM(E$99:E135)=D$92,F135,D$92-SUM(E$99:E135))</f>
        <v>128761.8200000003</v>
      </c>
      <c r="E136" s="482">
        <f t="shared" si="18"/>
        <v>63009</v>
      </c>
      <c r="F136" s="483">
        <f t="shared" si="19"/>
        <v>65752.820000000298</v>
      </c>
      <c r="G136" s="483">
        <f t="shared" si="20"/>
        <v>97257.320000000298</v>
      </c>
      <c r="H136" s="484">
        <f t="shared" si="21"/>
        <v>74118.417051671655</v>
      </c>
      <c r="I136" s="540">
        <f t="shared" si="22"/>
        <v>74118.417051671655</v>
      </c>
      <c r="J136" s="476">
        <f t="shared" si="24"/>
        <v>0</v>
      </c>
      <c r="K136" s="476"/>
      <c r="L136" s="485"/>
      <c r="M136" s="476">
        <f t="shared" si="25"/>
        <v>0</v>
      </c>
      <c r="N136" s="485"/>
      <c r="O136" s="476">
        <f t="shared" si="26"/>
        <v>0</v>
      </c>
      <c r="P136" s="476">
        <f t="shared" si="27"/>
        <v>0</v>
      </c>
    </row>
    <row r="137" spans="2:16" ht="12.5">
      <c r="B137" s="160" t="str">
        <f t="shared" si="16"/>
        <v/>
      </c>
      <c r="C137" s="470">
        <f>IF(D93="","-",+C136+1)</f>
        <v>2058</v>
      </c>
      <c r="D137" s="345">
        <f>IF(F136+SUM(E$99:E136)=D$92,F136,D$92-SUM(E$99:E136))</f>
        <v>65752.820000000298</v>
      </c>
      <c r="E137" s="482">
        <f t="shared" si="18"/>
        <v>63009</v>
      </c>
      <c r="F137" s="483">
        <f t="shared" si="19"/>
        <v>2743.820000000298</v>
      </c>
      <c r="G137" s="483">
        <f t="shared" si="20"/>
        <v>34248.320000000298</v>
      </c>
      <c r="H137" s="484">
        <f t="shared" si="21"/>
        <v>66921.084665700328</v>
      </c>
      <c r="I137" s="540">
        <f t="shared" si="22"/>
        <v>66921.084665700328</v>
      </c>
      <c r="J137" s="476">
        <f t="shared" si="24"/>
        <v>0</v>
      </c>
      <c r="K137" s="476"/>
      <c r="L137" s="485"/>
      <c r="M137" s="476">
        <f t="shared" si="25"/>
        <v>0</v>
      </c>
      <c r="N137" s="485"/>
      <c r="O137" s="476">
        <f t="shared" si="26"/>
        <v>0</v>
      </c>
      <c r="P137" s="476">
        <f t="shared" si="27"/>
        <v>0</v>
      </c>
    </row>
    <row r="138" spans="2:16" ht="12.5">
      <c r="B138" s="160" t="str">
        <f t="shared" si="16"/>
        <v/>
      </c>
      <c r="C138" s="470">
        <f>IF(D93="","-",+C137+1)</f>
        <v>2059</v>
      </c>
      <c r="D138" s="345">
        <f>IF(F137+SUM(E$99:E137)=D$92,F137,D$92-SUM(E$99:E137))</f>
        <v>2743.820000000298</v>
      </c>
      <c r="E138" s="482">
        <f t="shared" si="18"/>
        <v>2743.820000000298</v>
      </c>
      <c r="F138" s="483">
        <f t="shared" si="19"/>
        <v>0</v>
      </c>
      <c r="G138" s="483">
        <f t="shared" si="20"/>
        <v>1371.910000000149</v>
      </c>
      <c r="H138" s="484">
        <f t="shared" si="21"/>
        <v>2900.5292363576282</v>
      </c>
      <c r="I138" s="540">
        <f t="shared" si="22"/>
        <v>2900.5292363576282</v>
      </c>
      <c r="J138" s="476">
        <f t="shared" si="24"/>
        <v>0</v>
      </c>
      <c r="K138" s="476"/>
      <c r="L138" s="485"/>
      <c r="M138" s="476">
        <f t="shared" si="25"/>
        <v>0</v>
      </c>
      <c r="N138" s="485"/>
      <c r="O138" s="476">
        <f t="shared" si="26"/>
        <v>0</v>
      </c>
      <c r="P138" s="476">
        <f t="shared" si="27"/>
        <v>0</v>
      </c>
    </row>
    <row r="139" spans="2:16" ht="12.5">
      <c r="B139" s="160" t="str">
        <f t="shared" si="16"/>
        <v/>
      </c>
      <c r="C139" s="470">
        <f>IF(D93="","-",+C138+1)</f>
        <v>2060</v>
      </c>
      <c r="D139" s="345">
        <f>IF(F138+SUM(E$99:E138)=D$92,F138,D$92-SUM(E$99:E138))</f>
        <v>0</v>
      </c>
      <c r="E139" s="482">
        <f t="shared" si="18"/>
        <v>0</v>
      </c>
      <c r="F139" s="483">
        <f t="shared" si="19"/>
        <v>0</v>
      </c>
      <c r="G139" s="483">
        <f t="shared" si="20"/>
        <v>0</v>
      </c>
      <c r="H139" s="484">
        <f t="shared" si="21"/>
        <v>0</v>
      </c>
      <c r="I139" s="540">
        <f t="shared" si="22"/>
        <v>0</v>
      </c>
      <c r="J139" s="476">
        <f t="shared" si="24"/>
        <v>0</v>
      </c>
      <c r="K139" s="476"/>
      <c r="L139" s="485"/>
      <c r="M139" s="476">
        <f t="shared" si="25"/>
        <v>0</v>
      </c>
      <c r="N139" s="485"/>
      <c r="O139" s="476">
        <f t="shared" si="26"/>
        <v>0</v>
      </c>
      <c r="P139" s="476">
        <f t="shared" si="27"/>
        <v>0</v>
      </c>
    </row>
    <row r="140" spans="2:16" ht="12.5">
      <c r="B140" s="160" t="str">
        <f t="shared" si="16"/>
        <v/>
      </c>
      <c r="C140" s="470">
        <f>IF(D93="","-",+C139+1)</f>
        <v>2061</v>
      </c>
      <c r="D140" s="345">
        <f>IF(F139+SUM(E$99:E139)=D$92,F139,D$92-SUM(E$99:E139))</f>
        <v>0</v>
      </c>
      <c r="E140" s="482">
        <f t="shared" si="18"/>
        <v>0</v>
      </c>
      <c r="F140" s="483">
        <f t="shared" si="19"/>
        <v>0</v>
      </c>
      <c r="G140" s="483">
        <f t="shared" si="20"/>
        <v>0</v>
      </c>
      <c r="H140" s="484">
        <f t="shared" si="21"/>
        <v>0</v>
      </c>
      <c r="I140" s="540">
        <f t="shared" si="22"/>
        <v>0</v>
      </c>
      <c r="J140" s="476">
        <f t="shared" si="24"/>
        <v>0</v>
      </c>
      <c r="K140" s="476"/>
      <c r="L140" s="485"/>
      <c r="M140" s="476">
        <f t="shared" si="25"/>
        <v>0</v>
      </c>
      <c r="N140" s="485"/>
      <c r="O140" s="476">
        <f t="shared" si="26"/>
        <v>0</v>
      </c>
      <c r="P140" s="476">
        <f t="shared" si="27"/>
        <v>0</v>
      </c>
    </row>
    <row r="141" spans="2:16" ht="12.5">
      <c r="B141" s="160" t="str">
        <f t="shared" si="16"/>
        <v/>
      </c>
      <c r="C141" s="470">
        <f>IF(D93="","-",+C140+1)</f>
        <v>2062</v>
      </c>
      <c r="D141" s="345">
        <f>IF(F140+SUM(E$99:E140)=D$92,F140,D$92-SUM(E$99:E140))</f>
        <v>0</v>
      </c>
      <c r="E141" s="482">
        <f t="shared" si="18"/>
        <v>0</v>
      </c>
      <c r="F141" s="483">
        <f t="shared" si="19"/>
        <v>0</v>
      </c>
      <c r="G141" s="483">
        <f t="shared" si="20"/>
        <v>0</v>
      </c>
      <c r="H141" s="484">
        <f t="shared" si="21"/>
        <v>0</v>
      </c>
      <c r="I141" s="540">
        <f t="shared" si="22"/>
        <v>0</v>
      </c>
      <c r="J141" s="476">
        <f t="shared" si="24"/>
        <v>0</v>
      </c>
      <c r="K141" s="476"/>
      <c r="L141" s="485"/>
      <c r="M141" s="476">
        <f t="shared" si="25"/>
        <v>0</v>
      </c>
      <c r="N141" s="485"/>
      <c r="O141" s="476">
        <f t="shared" si="26"/>
        <v>0</v>
      </c>
      <c r="P141" s="476">
        <f t="shared" si="27"/>
        <v>0</v>
      </c>
    </row>
    <row r="142" spans="2:16" ht="12.5">
      <c r="B142" s="160" t="str">
        <f t="shared" si="16"/>
        <v/>
      </c>
      <c r="C142" s="470">
        <f>IF(D93="","-",+C141+1)</f>
        <v>2063</v>
      </c>
      <c r="D142" s="345">
        <f>IF(F141+SUM(E$99:E141)=D$92,F141,D$92-SUM(E$99:E141))</f>
        <v>0</v>
      </c>
      <c r="E142" s="482">
        <f t="shared" si="18"/>
        <v>0</v>
      </c>
      <c r="F142" s="483">
        <f t="shared" si="19"/>
        <v>0</v>
      </c>
      <c r="G142" s="483">
        <f t="shared" si="20"/>
        <v>0</v>
      </c>
      <c r="H142" s="484">
        <f t="shared" si="21"/>
        <v>0</v>
      </c>
      <c r="I142" s="540">
        <f t="shared" si="22"/>
        <v>0</v>
      </c>
      <c r="J142" s="476">
        <f t="shared" si="24"/>
        <v>0</v>
      </c>
      <c r="K142" s="476"/>
      <c r="L142" s="485"/>
      <c r="M142" s="476">
        <f t="shared" si="25"/>
        <v>0</v>
      </c>
      <c r="N142" s="485"/>
      <c r="O142" s="476">
        <f t="shared" si="26"/>
        <v>0</v>
      </c>
      <c r="P142" s="476">
        <f t="shared" si="27"/>
        <v>0</v>
      </c>
    </row>
    <row r="143" spans="2:16" ht="12.5">
      <c r="B143" s="160" t="str">
        <f t="shared" si="16"/>
        <v/>
      </c>
      <c r="C143" s="470">
        <f>IF(D93="","-",+C142+1)</f>
        <v>2064</v>
      </c>
      <c r="D143" s="345">
        <f>IF(F142+SUM(E$99:E142)=D$92,F142,D$92-SUM(E$99:E142))</f>
        <v>0</v>
      </c>
      <c r="E143" s="482">
        <f t="shared" si="18"/>
        <v>0</v>
      </c>
      <c r="F143" s="483">
        <f t="shared" si="19"/>
        <v>0</v>
      </c>
      <c r="G143" s="483">
        <f t="shared" si="20"/>
        <v>0</v>
      </c>
      <c r="H143" s="484">
        <f t="shared" si="21"/>
        <v>0</v>
      </c>
      <c r="I143" s="540">
        <f t="shared" si="22"/>
        <v>0</v>
      </c>
      <c r="J143" s="476">
        <f t="shared" si="24"/>
        <v>0</v>
      </c>
      <c r="K143" s="476"/>
      <c r="L143" s="485"/>
      <c r="M143" s="476">
        <f t="shared" si="25"/>
        <v>0</v>
      </c>
      <c r="N143" s="485"/>
      <c r="O143" s="476">
        <f t="shared" si="26"/>
        <v>0</v>
      </c>
      <c r="P143" s="476">
        <f t="shared" si="27"/>
        <v>0</v>
      </c>
    </row>
    <row r="144" spans="2:16" ht="12.5">
      <c r="B144" s="160" t="str">
        <f t="shared" si="16"/>
        <v/>
      </c>
      <c r="C144" s="470">
        <f>IF(D93="","-",+C143+1)</f>
        <v>2065</v>
      </c>
      <c r="D144" s="345">
        <f>IF(F143+SUM(E$99:E143)=D$92,F143,D$92-SUM(E$99:E143))</f>
        <v>0</v>
      </c>
      <c r="E144" s="482">
        <f t="shared" si="18"/>
        <v>0</v>
      </c>
      <c r="F144" s="483">
        <f t="shared" si="19"/>
        <v>0</v>
      </c>
      <c r="G144" s="483">
        <f t="shared" si="20"/>
        <v>0</v>
      </c>
      <c r="H144" s="484">
        <f t="shared" si="21"/>
        <v>0</v>
      </c>
      <c r="I144" s="540">
        <f t="shared" si="22"/>
        <v>0</v>
      </c>
      <c r="J144" s="476">
        <f t="shared" si="24"/>
        <v>0</v>
      </c>
      <c r="K144" s="476"/>
      <c r="L144" s="485"/>
      <c r="M144" s="476">
        <f t="shared" si="25"/>
        <v>0</v>
      </c>
      <c r="N144" s="485"/>
      <c r="O144" s="476">
        <f t="shared" si="26"/>
        <v>0</v>
      </c>
      <c r="P144" s="476">
        <f t="shared" si="27"/>
        <v>0</v>
      </c>
    </row>
    <row r="145" spans="2:16" ht="12.5">
      <c r="B145" s="160" t="str">
        <f t="shared" si="16"/>
        <v/>
      </c>
      <c r="C145" s="470">
        <f>IF(D93="","-",+C144+1)</f>
        <v>2066</v>
      </c>
      <c r="D145" s="345">
        <f>IF(F144+SUM(E$99:E144)=D$92,F144,D$92-SUM(E$99:E144))</f>
        <v>0</v>
      </c>
      <c r="E145" s="482">
        <f t="shared" si="18"/>
        <v>0</v>
      </c>
      <c r="F145" s="483">
        <f t="shared" si="19"/>
        <v>0</v>
      </c>
      <c r="G145" s="483">
        <f t="shared" si="20"/>
        <v>0</v>
      </c>
      <c r="H145" s="484">
        <f t="shared" si="21"/>
        <v>0</v>
      </c>
      <c r="I145" s="540">
        <f t="shared" si="22"/>
        <v>0</v>
      </c>
      <c r="J145" s="476">
        <f t="shared" si="24"/>
        <v>0</v>
      </c>
      <c r="K145" s="476"/>
      <c r="L145" s="485"/>
      <c r="M145" s="476">
        <f t="shared" si="25"/>
        <v>0</v>
      </c>
      <c r="N145" s="485"/>
      <c r="O145" s="476">
        <f t="shared" si="26"/>
        <v>0</v>
      </c>
      <c r="P145" s="476">
        <f t="shared" si="27"/>
        <v>0</v>
      </c>
    </row>
    <row r="146" spans="2:16" ht="12.5">
      <c r="B146" s="160" t="str">
        <f t="shared" si="16"/>
        <v/>
      </c>
      <c r="C146" s="470">
        <f>IF(D93="","-",+C145+1)</f>
        <v>2067</v>
      </c>
      <c r="D146" s="345">
        <f>IF(F145+SUM(E$99:E145)=D$92,F145,D$92-SUM(E$99:E145))</f>
        <v>0</v>
      </c>
      <c r="E146" s="482">
        <f t="shared" si="18"/>
        <v>0</v>
      </c>
      <c r="F146" s="483">
        <f t="shared" si="19"/>
        <v>0</v>
      </c>
      <c r="G146" s="483">
        <f t="shared" si="20"/>
        <v>0</v>
      </c>
      <c r="H146" s="484">
        <f t="shared" si="21"/>
        <v>0</v>
      </c>
      <c r="I146" s="540">
        <f t="shared" si="22"/>
        <v>0</v>
      </c>
      <c r="J146" s="476">
        <f t="shared" si="24"/>
        <v>0</v>
      </c>
      <c r="K146" s="476"/>
      <c r="L146" s="485"/>
      <c r="M146" s="476">
        <f t="shared" si="25"/>
        <v>0</v>
      </c>
      <c r="N146" s="485"/>
      <c r="O146" s="476">
        <f t="shared" si="26"/>
        <v>0</v>
      </c>
      <c r="P146" s="476">
        <f t="shared" si="27"/>
        <v>0</v>
      </c>
    </row>
    <row r="147" spans="2:16" ht="12.5">
      <c r="B147" s="160" t="str">
        <f t="shared" si="16"/>
        <v/>
      </c>
      <c r="C147" s="470">
        <f>IF(D93="","-",+C146+1)</f>
        <v>2068</v>
      </c>
      <c r="D147" s="345">
        <f>IF(F146+SUM(E$99:E146)=D$92,F146,D$92-SUM(E$99:E146))</f>
        <v>0</v>
      </c>
      <c r="E147" s="482">
        <f t="shared" si="18"/>
        <v>0</v>
      </c>
      <c r="F147" s="483">
        <f t="shared" si="19"/>
        <v>0</v>
      </c>
      <c r="G147" s="483">
        <f t="shared" si="20"/>
        <v>0</v>
      </c>
      <c r="H147" s="484">
        <f t="shared" si="21"/>
        <v>0</v>
      </c>
      <c r="I147" s="540">
        <f t="shared" si="22"/>
        <v>0</v>
      </c>
      <c r="J147" s="476">
        <f t="shared" si="24"/>
        <v>0</v>
      </c>
      <c r="K147" s="476"/>
      <c r="L147" s="485"/>
      <c r="M147" s="476">
        <f t="shared" si="25"/>
        <v>0</v>
      </c>
      <c r="N147" s="485"/>
      <c r="O147" s="476">
        <f t="shared" si="26"/>
        <v>0</v>
      </c>
      <c r="P147" s="476">
        <f t="shared" si="27"/>
        <v>0</v>
      </c>
    </row>
    <row r="148" spans="2:16" ht="12.5">
      <c r="B148" s="160" t="str">
        <f t="shared" si="16"/>
        <v/>
      </c>
      <c r="C148" s="470">
        <f>IF(D93="","-",+C147+1)</f>
        <v>2069</v>
      </c>
      <c r="D148" s="345">
        <f>IF(F147+SUM(E$99:E147)=D$92,F147,D$92-SUM(E$99:E147))</f>
        <v>0</v>
      </c>
      <c r="E148" s="482">
        <f t="shared" si="18"/>
        <v>0</v>
      </c>
      <c r="F148" s="483">
        <f t="shared" si="19"/>
        <v>0</v>
      </c>
      <c r="G148" s="483">
        <f t="shared" si="20"/>
        <v>0</v>
      </c>
      <c r="H148" s="484">
        <f t="shared" si="21"/>
        <v>0</v>
      </c>
      <c r="I148" s="540">
        <f t="shared" si="22"/>
        <v>0</v>
      </c>
      <c r="J148" s="476">
        <f t="shared" si="24"/>
        <v>0</v>
      </c>
      <c r="K148" s="476"/>
      <c r="L148" s="485"/>
      <c r="M148" s="476">
        <f t="shared" si="25"/>
        <v>0</v>
      </c>
      <c r="N148" s="485"/>
      <c r="O148" s="476">
        <f t="shared" si="26"/>
        <v>0</v>
      </c>
      <c r="P148" s="476">
        <f t="shared" si="27"/>
        <v>0</v>
      </c>
    </row>
    <row r="149" spans="2:16" ht="12.5">
      <c r="B149" s="160" t="str">
        <f t="shared" si="16"/>
        <v/>
      </c>
      <c r="C149" s="470">
        <f>IF(D93="","-",+C148+1)</f>
        <v>2070</v>
      </c>
      <c r="D149" s="345">
        <f>IF(F148+SUM(E$99:E148)=D$92,F148,D$92-SUM(E$99:E148))</f>
        <v>0</v>
      </c>
      <c r="E149" s="482">
        <f t="shared" si="18"/>
        <v>0</v>
      </c>
      <c r="F149" s="483">
        <f t="shared" si="19"/>
        <v>0</v>
      </c>
      <c r="G149" s="483">
        <f t="shared" si="20"/>
        <v>0</v>
      </c>
      <c r="H149" s="484">
        <f t="shared" si="21"/>
        <v>0</v>
      </c>
      <c r="I149" s="540">
        <f t="shared" si="22"/>
        <v>0</v>
      </c>
      <c r="J149" s="476">
        <f t="shared" si="24"/>
        <v>0</v>
      </c>
      <c r="K149" s="476"/>
      <c r="L149" s="485"/>
      <c r="M149" s="476">
        <f t="shared" si="25"/>
        <v>0</v>
      </c>
      <c r="N149" s="485"/>
      <c r="O149" s="476">
        <f t="shared" si="26"/>
        <v>0</v>
      </c>
      <c r="P149" s="476">
        <f t="shared" si="27"/>
        <v>0</v>
      </c>
    </row>
    <row r="150" spans="2:16" ht="12.5">
      <c r="B150" s="160" t="str">
        <f t="shared" si="16"/>
        <v/>
      </c>
      <c r="C150" s="470">
        <f>IF(D93="","-",+C149+1)</f>
        <v>2071</v>
      </c>
      <c r="D150" s="345">
        <f>IF(F149+SUM(E$99:E149)=D$92,F149,D$92-SUM(E$99:E149))</f>
        <v>0</v>
      </c>
      <c r="E150" s="482">
        <f t="shared" si="18"/>
        <v>0</v>
      </c>
      <c r="F150" s="483">
        <f t="shared" si="19"/>
        <v>0</v>
      </c>
      <c r="G150" s="483">
        <f t="shared" si="20"/>
        <v>0</v>
      </c>
      <c r="H150" s="484">
        <f t="shared" si="21"/>
        <v>0</v>
      </c>
      <c r="I150" s="540">
        <f t="shared" si="22"/>
        <v>0</v>
      </c>
      <c r="J150" s="476">
        <f t="shared" si="24"/>
        <v>0</v>
      </c>
      <c r="K150" s="476"/>
      <c r="L150" s="485"/>
      <c r="M150" s="476">
        <f t="shared" si="25"/>
        <v>0</v>
      </c>
      <c r="N150" s="485"/>
      <c r="O150" s="476">
        <f t="shared" si="26"/>
        <v>0</v>
      </c>
      <c r="P150" s="476">
        <f t="shared" si="27"/>
        <v>0</v>
      </c>
    </row>
    <row r="151" spans="2:16" ht="12.5">
      <c r="B151" s="160" t="str">
        <f t="shared" si="16"/>
        <v/>
      </c>
      <c r="C151" s="470">
        <f>IF(D93="","-",+C150+1)</f>
        <v>2072</v>
      </c>
      <c r="D151" s="345">
        <f>IF(F150+SUM(E$99:E150)=D$92,F150,D$92-SUM(E$99:E150))</f>
        <v>0</v>
      </c>
      <c r="E151" s="482">
        <f t="shared" si="18"/>
        <v>0</v>
      </c>
      <c r="F151" s="483">
        <f t="shared" si="19"/>
        <v>0</v>
      </c>
      <c r="G151" s="483">
        <f t="shared" si="20"/>
        <v>0</v>
      </c>
      <c r="H151" s="484">
        <f t="shared" si="21"/>
        <v>0</v>
      </c>
      <c r="I151" s="540">
        <f t="shared" si="22"/>
        <v>0</v>
      </c>
      <c r="J151" s="476">
        <f t="shared" si="24"/>
        <v>0</v>
      </c>
      <c r="K151" s="476"/>
      <c r="L151" s="485"/>
      <c r="M151" s="476">
        <f t="shared" si="25"/>
        <v>0</v>
      </c>
      <c r="N151" s="485"/>
      <c r="O151" s="476">
        <f t="shared" si="26"/>
        <v>0</v>
      </c>
      <c r="P151" s="476">
        <f t="shared" si="27"/>
        <v>0</v>
      </c>
    </row>
    <row r="152" spans="2:16" ht="12.5">
      <c r="B152" s="160" t="str">
        <f t="shared" si="16"/>
        <v/>
      </c>
      <c r="C152" s="470">
        <f>IF(D93="","-",+C151+1)</f>
        <v>2073</v>
      </c>
      <c r="D152" s="345">
        <f>IF(F151+SUM(E$99:E151)=D$92,F151,D$92-SUM(E$99:E151))</f>
        <v>0</v>
      </c>
      <c r="E152" s="482">
        <f t="shared" si="18"/>
        <v>0</v>
      </c>
      <c r="F152" s="483">
        <f t="shared" si="19"/>
        <v>0</v>
      </c>
      <c r="G152" s="483">
        <f t="shared" si="20"/>
        <v>0</v>
      </c>
      <c r="H152" s="484">
        <f t="shared" si="21"/>
        <v>0</v>
      </c>
      <c r="I152" s="540">
        <f t="shared" si="22"/>
        <v>0</v>
      </c>
      <c r="J152" s="476">
        <f t="shared" si="24"/>
        <v>0</v>
      </c>
      <c r="K152" s="476"/>
      <c r="L152" s="485"/>
      <c r="M152" s="476">
        <f t="shared" si="25"/>
        <v>0</v>
      </c>
      <c r="N152" s="485"/>
      <c r="O152" s="476">
        <f t="shared" si="26"/>
        <v>0</v>
      </c>
      <c r="P152" s="476">
        <f t="shared" si="27"/>
        <v>0</v>
      </c>
    </row>
    <row r="153" spans="2:16" ht="12.5">
      <c r="B153" s="160" t="str">
        <f t="shared" si="16"/>
        <v/>
      </c>
      <c r="C153" s="470">
        <f>IF(D93="","-",+C152+1)</f>
        <v>2074</v>
      </c>
      <c r="D153" s="345">
        <f>IF(F152+SUM(E$99:E152)=D$92,F152,D$92-SUM(E$99:E152))</f>
        <v>0</v>
      </c>
      <c r="E153" s="482">
        <f t="shared" si="18"/>
        <v>0</v>
      </c>
      <c r="F153" s="483">
        <f t="shared" si="19"/>
        <v>0</v>
      </c>
      <c r="G153" s="483">
        <f t="shared" si="20"/>
        <v>0</v>
      </c>
      <c r="H153" s="484">
        <f t="shared" si="21"/>
        <v>0</v>
      </c>
      <c r="I153" s="540">
        <f t="shared" si="22"/>
        <v>0</v>
      </c>
      <c r="J153" s="476">
        <f t="shared" si="24"/>
        <v>0</v>
      </c>
      <c r="K153" s="476"/>
      <c r="L153" s="485"/>
      <c r="M153" s="476">
        <f t="shared" si="25"/>
        <v>0</v>
      </c>
      <c r="N153" s="485"/>
      <c r="O153" s="476">
        <f t="shared" si="26"/>
        <v>0</v>
      </c>
      <c r="P153" s="476">
        <f t="shared" si="27"/>
        <v>0</v>
      </c>
    </row>
    <row r="154" spans="2:16" ht="13" thickBot="1">
      <c r="B154" s="160" t="str">
        <f t="shared" si="16"/>
        <v/>
      </c>
      <c r="C154" s="487">
        <f>IF(D93="","-",+C153+1)</f>
        <v>2075</v>
      </c>
      <c r="D154" s="541">
        <f>IF(F153+SUM(E$99:E153)=D$92,F153,D$92-SUM(E$99:E153))</f>
        <v>0</v>
      </c>
      <c r="E154" s="489">
        <f t="shared" si="18"/>
        <v>0</v>
      </c>
      <c r="F154" s="488">
        <f t="shared" si="19"/>
        <v>0</v>
      </c>
      <c r="G154" s="488">
        <f t="shared" si="20"/>
        <v>0</v>
      </c>
      <c r="H154" s="610">
        <f t="shared" ref="H154" si="28">+J$94*G154+E154</f>
        <v>0</v>
      </c>
      <c r="I154" s="611">
        <f t="shared" ref="I154" si="29">+J$95*G154+E154</f>
        <v>0</v>
      </c>
      <c r="J154" s="493">
        <f t="shared" si="24"/>
        <v>0</v>
      </c>
      <c r="K154" s="476"/>
      <c r="L154" s="492"/>
      <c r="M154" s="493">
        <f t="shared" si="25"/>
        <v>0</v>
      </c>
      <c r="N154" s="492"/>
      <c r="O154" s="493">
        <f t="shared" si="26"/>
        <v>0</v>
      </c>
      <c r="P154" s="493">
        <f t="shared" si="27"/>
        <v>0</v>
      </c>
    </row>
    <row r="155" spans="2:16" ht="12.5">
      <c r="C155" s="345" t="s">
        <v>77</v>
      </c>
      <c r="D155" s="346"/>
      <c r="E155" s="346">
        <f>SUM(E99:E154)</f>
        <v>2394352.8200000003</v>
      </c>
      <c r="F155" s="346"/>
      <c r="G155" s="346"/>
      <c r="H155" s="346">
        <f>SUM(H99:H154)</f>
        <v>7754326.339560397</v>
      </c>
      <c r="I155" s="346">
        <f>SUM(I99:I154)</f>
        <v>7754326.339560397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2"/>
  <sheetViews>
    <sheetView topLeftCell="A57" zoomScale="80" zoomScaleNormal="80" workbookViewId="0">
      <selection activeCell="D94" sqref="D94"/>
    </sheetView>
  </sheetViews>
  <sheetFormatPr defaultColWidth="8.7265625" defaultRowHeight="12.5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631"/>
      <c r="C1" s="631"/>
      <c r="D1" s="632"/>
      <c r="E1" s="631"/>
      <c r="F1" s="633"/>
      <c r="G1" s="631"/>
      <c r="H1" s="634"/>
      <c r="K1" s="19"/>
      <c r="L1" s="19"/>
      <c r="M1" s="19"/>
      <c r="P1" s="635" t="s">
        <v>362</v>
      </c>
    </row>
    <row r="2" spans="1:16" ht="17.5">
      <c r="B2" s="631"/>
      <c r="C2" s="631"/>
      <c r="D2" s="632"/>
      <c r="E2" s="631"/>
      <c r="F2" s="631"/>
      <c r="G2" s="631"/>
      <c r="H2" s="634"/>
      <c r="I2" s="631"/>
      <c r="J2" s="631"/>
      <c r="K2" s="631"/>
      <c r="L2" s="631"/>
      <c r="M2" s="631"/>
      <c r="N2" s="631"/>
      <c r="P2" s="117" t="s">
        <v>150</v>
      </c>
    </row>
    <row r="3" spans="1:16" ht="18">
      <c r="B3" s="636" t="s">
        <v>42</v>
      </c>
      <c r="C3" s="637" t="s">
        <v>43</v>
      </c>
      <c r="D3" s="632"/>
      <c r="E3" s="631"/>
      <c r="F3" s="631"/>
      <c r="G3" s="631"/>
      <c r="H3" s="634"/>
      <c r="I3" s="634"/>
      <c r="J3" s="638"/>
      <c r="K3" s="634"/>
      <c r="L3" s="634"/>
      <c r="M3" s="634"/>
      <c r="N3" s="634"/>
      <c r="O3" s="631"/>
      <c r="P3" s="108">
        <v>1</v>
      </c>
    </row>
    <row r="4" spans="1:16" ht="16" thickBot="1">
      <c r="C4" s="639"/>
      <c r="D4" s="632"/>
      <c r="E4" s="631"/>
      <c r="F4" s="631"/>
      <c r="G4" s="631"/>
      <c r="H4" s="634"/>
      <c r="I4" s="634"/>
      <c r="J4" s="638"/>
      <c r="K4" s="634"/>
      <c r="L4" s="634"/>
      <c r="M4" s="634"/>
      <c r="N4" s="634"/>
      <c r="O4" s="631"/>
      <c r="P4" s="631"/>
    </row>
    <row r="5" spans="1:16" ht="15.5">
      <c r="C5" s="21" t="s">
        <v>44</v>
      </c>
      <c r="D5" s="632"/>
      <c r="E5" s="631"/>
      <c r="F5" s="631"/>
      <c r="G5" s="419"/>
      <c r="H5" s="631" t="s">
        <v>45</v>
      </c>
      <c r="I5" s="631"/>
      <c r="J5" s="631"/>
      <c r="K5" s="23" t="s">
        <v>279</v>
      </c>
      <c r="L5" s="24"/>
      <c r="M5" s="640"/>
      <c r="N5" s="423">
        <f>VLOOKUP(I10,C17:I72,5)</f>
        <v>98065.578092049604</v>
      </c>
      <c r="P5" s="631"/>
    </row>
    <row r="6" spans="1:16" ht="15.5">
      <c r="C6" s="8"/>
      <c r="D6" s="632"/>
      <c r="E6" s="631"/>
      <c r="F6" s="631"/>
      <c r="G6" s="631"/>
      <c r="H6" s="424"/>
      <c r="I6" s="424"/>
      <c r="J6" s="425"/>
      <c r="K6" s="29" t="s">
        <v>280</v>
      </c>
      <c r="L6" s="427"/>
      <c r="M6" s="631"/>
      <c r="N6" s="428">
        <f>VLOOKUP(I10,C17:I72,6)</f>
        <v>98065.578092049604</v>
      </c>
      <c r="O6" s="631"/>
      <c r="P6" s="631"/>
    </row>
    <row r="7" spans="1:16" ht="13.5" thickBot="1">
      <c r="C7" s="641" t="s">
        <v>46</v>
      </c>
      <c r="D7" s="614" t="s">
        <v>343</v>
      </c>
      <c r="E7" s="631"/>
      <c r="F7" s="631"/>
      <c r="G7" s="631"/>
      <c r="H7" s="634"/>
      <c r="I7" s="634"/>
      <c r="J7" s="638"/>
      <c r="K7" s="431" t="s">
        <v>47</v>
      </c>
      <c r="L7" s="642"/>
      <c r="M7" s="642"/>
      <c r="N7" s="643">
        <f>+N6-N5</f>
        <v>0</v>
      </c>
      <c r="O7" s="631"/>
      <c r="P7" s="631"/>
    </row>
    <row r="8" spans="1:16" ht="13.5" thickBot="1">
      <c r="C8" s="644"/>
      <c r="D8" s="99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31"/>
    </row>
    <row r="9" spans="1:16" ht="13.5" thickBot="1">
      <c r="C9" s="646" t="s">
        <v>48</v>
      </c>
      <c r="D9" s="106" t="s">
        <v>344</v>
      </c>
      <c r="E9" s="647" t="s">
        <v>345</v>
      </c>
      <c r="F9" s="648"/>
      <c r="G9" s="648"/>
      <c r="H9" s="648"/>
      <c r="I9" s="649"/>
      <c r="J9" s="650"/>
      <c r="P9" s="631"/>
    </row>
    <row r="10" spans="1:16" ht="13">
      <c r="C10" s="651" t="s">
        <v>226</v>
      </c>
      <c r="D10" s="445">
        <v>37862.589999999997</v>
      </c>
      <c r="E10" s="631" t="s">
        <v>51</v>
      </c>
      <c r="G10" s="632"/>
      <c r="H10" s="632"/>
      <c r="I10" s="652">
        <v>2022</v>
      </c>
      <c r="J10" s="650"/>
      <c r="K10" s="638" t="s">
        <v>52</v>
      </c>
      <c r="O10" s="631"/>
      <c r="P10" s="631"/>
    </row>
    <row r="11" spans="1:16">
      <c r="C11" s="653" t="s">
        <v>53</v>
      </c>
      <c r="D11" s="47">
        <v>2022</v>
      </c>
      <c r="E11" s="653" t="s">
        <v>54</v>
      </c>
      <c r="F11" s="632"/>
      <c r="I11" s="654">
        <v>0</v>
      </c>
      <c r="J11" s="655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631"/>
      <c r="P11" s="631"/>
    </row>
    <row r="12" spans="1:16">
      <c r="C12" s="653" t="s">
        <v>55</v>
      </c>
      <c r="D12" s="445">
        <v>6</v>
      </c>
      <c r="E12" s="653" t="s">
        <v>56</v>
      </c>
      <c r="F12" s="632"/>
      <c r="I12" s="656">
        <v>0.10781124580725182</v>
      </c>
      <c r="J12" s="633"/>
      <c r="K12" t="s">
        <v>57</v>
      </c>
      <c r="O12" s="631"/>
      <c r="P12" s="631"/>
    </row>
    <row r="13" spans="1:16">
      <c r="C13" s="653" t="s">
        <v>58</v>
      </c>
      <c r="D13" s="654">
        <v>42</v>
      </c>
      <c r="E13" s="653" t="s">
        <v>59</v>
      </c>
      <c r="F13" s="632"/>
      <c r="I13" s="656">
        <v>0.10781124580725182</v>
      </c>
      <c r="J13" s="633"/>
      <c r="K13" s="638" t="s">
        <v>60</v>
      </c>
      <c r="L13" s="633"/>
      <c r="M13" s="633"/>
      <c r="N13" s="633"/>
      <c r="O13" s="631"/>
      <c r="P13" s="631"/>
    </row>
    <row r="14" spans="1:16" ht="13" thickBot="1">
      <c r="C14" s="653" t="s">
        <v>61</v>
      </c>
      <c r="D14" s="47" t="s">
        <v>62</v>
      </c>
      <c r="E14" s="631" t="s">
        <v>63</v>
      </c>
      <c r="F14" s="632"/>
      <c r="I14" s="657">
        <f>IF(D10=0,0,D10/D13)</f>
        <v>901.49023809523806</v>
      </c>
      <c r="J14" s="638"/>
      <c r="K14" s="638"/>
      <c r="L14" s="638"/>
      <c r="M14" s="638"/>
      <c r="N14" s="638"/>
      <c r="O14" s="631"/>
      <c r="P14" s="631"/>
    </row>
    <row r="15" spans="1:16" ht="39">
      <c r="C15" s="53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53" t="s">
        <v>67</v>
      </c>
      <c r="J15" s="55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631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463" t="s">
        <v>73</v>
      </c>
      <c r="H16" s="464" t="s">
        <v>74</v>
      </c>
      <c r="I16" s="57" t="s">
        <v>104</v>
      </c>
      <c r="J16" s="55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631"/>
    </row>
    <row r="17" spans="2:16">
      <c r="B17" s="9"/>
      <c r="C17" s="658">
        <f>IF(D11= "","-",D11)</f>
        <v>2022</v>
      </c>
      <c r="D17" s="618">
        <v>0</v>
      </c>
      <c r="E17" s="619">
        <v>20314.791666666668</v>
      </c>
      <c r="F17" s="620">
        <v>1442350.2083333333</v>
      </c>
      <c r="G17" s="619">
        <v>98065.578092049604</v>
      </c>
      <c r="H17" s="621">
        <v>98065.578092049604</v>
      </c>
      <c r="I17" s="662">
        <f>H17-G17</f>
        <v>0</v>
      </c>
      <c r="J17" s="662"/>
      <c r="K17" s="663">
        <f>+G17</f>
        <v>98065.578092049604</v>
      </c>
      <c r="L17" s="664">
        <f t="shared" ref="L17:L72" si="0">IF(K17&lt;&gt;0,+G17-K17,0)</f>
        <v>0</v>
      </c>
      <c r="M17" s="663">
        <f>+H17</f>
        <v>98065.578092049604</v>
      </c>
      <c r="N17" s="664">
        <f t="shared" ref="N17:N72" si="1">IF(M17&lt;&gt;0,+H17-M17,0)</f>
        <v>0</v>
      </c>
      <c r="O17" s="665">
        <f t="shared" ref="O17:O72" si="2">+N17-L17</f>
        <v>0</v>
      </c>
      <c r="P17" s="631"/>
    </row>
    <row r="18" spans="2:16">
      <c r="B18" s="9" t="str">
        <f>IF(D18=F17,"","IU")</f>
        <v>IU</v>
      </c>
      <c r="C18" s="658">
        <f>IF(D11="","-",+C17+1)</f>
        <v>2023</v>
      </c>
      <c r="D18" s="660">
        <f>IF(F17+SUM(E$17:E17)=D$10,F17,D$10-SUM(E$17:E17))</f>
        <v>17547.798333333329</v>
      </c>
      <c r="E18" s="69">
        <f>IF(+I$14&lt;F17,I$14,D18)</f>
        <v>901.49023809523806</v>
      </c>
      <c r="F18" s="660">
        <f>+D18-E18</f>
        <v>16646.308095238091</v>
      </c>
      <c r="G18" s="666">
        <f>(D18+F18)/2*I$12+E18</f>
        <v>2744.7448447602601</v>
      </c>
      <c r="H18" s="661">
        <f>+(D18+F18)/2*I$13+E18</f>
        <v>2744.7448447602601</v>
      </c>
      <c r="I18" s="662">
        <f>H18-G18</f>
        <v>0</v>
      </c>
      <c r="J18" s="662"/>
      <c r="K18" s="132"/>
      <c r="L18" s="665">
        <f t="shared" si="0"/>
        <v>0</v>
      </c>
      <c r="M18" s="132"/>
      <c r="N18" s="665">
        <f t="shared" si="1"/>
        <v>0</v>
      </c>
      <c r="O18" s="665">
        <f t="shared" si="2"/>
        <v>0</v>
      </c>
      <c r="P18" s="631"/>
    </row>
    <row r="19" spans="2:16">
      <c r="B19" s="9" t="str">
        <f>IF(D19=F18,"","IU")</f>
        <v/>
      </c>
      <c r="C19" s="658">
        <f>IF(D11="","-",+C18+1)</f>
        <v>2024</v>
      </c>
      <c r="D19" s="660">
        <f>IF(F18+SUM(E$17:E18)=D$10,F18,D$10-SUM(E$17:E18))</f>
        <v>16646.308095238091</v>
      </c>
      <c r="E19" s="69">
        <f t="shared" ref="E19:E71" si="3">IF(+I$14&lt;F18,I$14,D19)</f>
        <v>901.49023809523806</v>
      </c>
      <c r="F19" s="660">
        <f t="shared" ref="F19:F71" si="4">+D19-E19</f>
        <v>15744.817857142854</v>
      </c>
      <c r="G19" s="666">
        <f t="shared" ref="G19:G71" si="5">(D19+F19)/2*I$12+E19</f>
        <v>2647.5540591081362</v>
      </c>
      <c r="H19" s="661">
        <f t="shared" ref="H19:H71" si="6">+(D19+F19)/2*I$13+E19</f>
        <v>2647.5540591081362</v>
      </c>
      <c r="I19" s="662">
        <f t="shared" ref="I19:I71" si="7">H19-G19</f>
        <v>0</v>
      </c>
      <c r="J19" s="662"/>
      <c r="K19" s="132"/>
      <c r="L19" s="665">
        <f t="shared" si="0"/>
        <v>0</v>
      </c>
      <c r="M19" s="132"/>
      <c r="N19" s="665">
        <f t="shared" si="1"/>
        <v>0</v>
      </c>
      <c r="O19" s="665">
        <f t="shared" si="2"/>
        <v>0</v>
      </c>
      <c r="P19" s="631"/>
    </row>
    <row r="20" spans="2:16">
      <c r="B20" s="9" t="str">
        <f t="shared" ref="B20:B72" si="8">IF(D20=F19,"","IU")</f>
        <v/>
      </c>
      <c r="C20" s="658">
        <f>IF(D11="","-",+C19+1)</f>
        <v>2025</v>
      </c>
      <c r="D20" s="660">
        <f>IF(F19+SUM(E$17:E19)=D$10,F19,D$10-SUM(E$17:E19))</f>
        <v>15744.817857142854</v>
      </c>
      <c r="E20" s="69">
        <f t="shared" si="3"/>
        <v>901.49023809523806</v>
      </c>
      <c r="F20" s="660">
        <f t="shared" si="4"/>
        <v>14843.327619047617</v>
      </c>
      <c r="G20" s="666">
        <f t="shared" si="5"/>
        <v>2550.3632734560124</v>
      </c>
      <c r="H20" s="661">
        <f t="shared" si="6"/>
        <v>2550.3632734560124</v>
      </c>
      <c r="I20" s="662">
        <f t="shared" si="7"/>
        <v>0</v>
      </c>
      <c r="J20" s="662"/>
      <c r="K20" s="132"/>
      <c r="L20" s="665">
        <f t="shared" si="0"/>
        <v>0</v>
      </c>
      <c r="M20" s="132"/>
      <c r="N20" s="665">
        <f t="shared" si="1"/>
        <v>0</v>
      </c>
      <c r="O20" s="665">
        <f t="shared" si="2"/>
        <v>0</v>
      </c>
      <c r="P20" s="631"/>
    </row>
    <row r="21" spans="2:16">
      <c r="B21" s="9" t="str">
        <f t="shared" si="8"/>
        <v/>
      </c>
      <c r="C21" s="658">
        <f>IF(D11="","-",+C20+1)</f>
        <v>2026</v>
      </c>
      <c r="D21" s="660">
        <f>IF(F20+SUM(E$17:E20)=D$10,F20,D$10-SUM(E$17:E20))</f>
        <v>14843.327619047617</v>
      </c>
      <c r="E21" s="69">
        <f t="shared" si="3"/>
        <v>901.49023809523806</v>
      </c>
      <c r="F21" s="660">
        <f t="shared" si="4"/>
        <v>13941.83738095238</v>
      </c>
      <c r="G21" s="666">
        <f t="shared" si="5"/>
        <v>2453.1724878038885</v>
      </c>
      <c r="H21" s="661">
        <f t="shared" si="6"/>
        <v>2453.1724878038885</v>
      </c>
      <c r="I21" s="662">
        <f t="shared" si="7"/>
        <v>0</v>
      </c>
      <c r="J21" s="662"/>
      <c r="K21" s="132"/>
      <c r="L21" s="665">
        <f t="shared" si="0"/>
        <v>0</v>
      </c>
      <c r="M21" s="132"/>
      <c r="N21" s="665">
        <f t="shared" si="1"/>
        <v>0</v>
      </c>
      <c r="O21" s="665">
        <f t="shared" si="2"/>
        <v>0</v>
      </c>
      <c r="P21" s="631"/>
    </row>
    <row r="22" spans="2:16">
      <c r="B22" s="9" t="str">
        <f t="shared" si="8"/>
        <v/>
      </c>
      <c r="C22" s="658">
        <f>IF(D11="","-",+C21+1)</f>
        <v>2027</v>
      </c>
      <c r="D22" s="660">
        <f>IF(F21+SUM(E$17:E21)=D$10,F21,D$10-SUM(E$17:E21))</f>
        <v>13941.83738095238</v>
      </c>
      <c r="E22" s="69">
        <f t="shared" si="3"/>
        <v>901.49023809523806</v>
      </c>
      <c r="F22" s="660">
        <f t="shared" si="4"/>
        <v>13040.347142857143</v>
      </c>
      <c r="G22" s="666">
        <f t="shared" si="5"/>
        <v>2355.9817021517651</v>
      </c>
      <c r="H22" s="661">
        <f t="shared" si="6"/>
        <v>2355.9817021517651</v>
      </c>
      <c r="I22" s="662">
        <f t="shared" si="7"/>
        <v>0</v>
      </c>
      <c r="J22" s="662"/>
      <c r="K22" s="132"/>
      <c r="L22" s="665">
        <f t="shared" si="0"/>
        <v>0</v>
      </c>
      <c r="M22" s="132"/>
      <c r="N22" s="665">
        <f t="shared" si="1"/>
        <v>0</v>
      </c>
      <c r="O22" s="665">
        <f t="shared" si="2"/>
        <v>0</v>
      </c>
      <c r="P22" s="631"/>
    </row>
    <row r="23" spans="2:16">
      <c r="B23" s="9" t="str">
        <f t="shared" si="8"/>
        <v/>
      </c>
      <c r="C23" s="658">
        <f>IF(D11="","-",+C22+1)</f>
        <v>2028</v>
      </c>
      <c r="D23" s="660">
        <f>IF(F22+SUM(E$17:E22)=D$10,F22,D$10-SUM(E$17:E22))</f>
        <v>13040.347142857143</v>
      </c>
      <c r="E23" s="69">
        <f t="shared" si="3"/>
        <v>901.49023809523806</v>
      </c>
      <c r="F23" s="660">
        <f t="shared" si="4"/>
        <v>12138.856904761906</v>
      </c>
      <c r="G23" s="666">
        <f t="shared" si="5"/>
        <v>2258.7909164996418</v>
      </c>
      <c r="H23" s="661">
        <f t="shared" si="6"/>
        <v>2258.7909164996418</v>
      </c>
      <c r="I23" s="662">
        <f t="shared" si="7"/>
        <v>0</v>
      </c>
      <c r="J23" s="662"/>
      <c r="K23" s="132"/>
      <c r="L23" s="665">
        <f t="shared" si="0"/>
        <v>0</v>
      </c>
      <c r="M23" s="132"/>
      <c r="N23" s="665">
        <f t="shared" si="1"/>
        <v>0</v>
      </c>
      <c r="O23" s="665">
        <f t="shared" si="2"/>
        <v>0</v>
      </c>
      <c r="P23" s="631"/>
    </row>
    <row r="24" spans="2:16">
      <c r="B24" s="9" t="str">
        <f t="shared" si="8"/>
        <v/>
      </c>
      <c r="C24" s="658">
        <f>IF(D11="","-",+C23+1)</f>
        <v>2029</v>
      </c>
      <c r="D24" s="660">
        <f>IF(F23+SUM(E$17:E23)=D$10,F23,D$10-SUM(E$17:E23))</f>
        <v>12138.856904761906</v>
      </c>
      <c r="E24" s="69">
        <f t="shared" si="3"/>
        <v>901.49023809523806</v>
      </c>
      <c r="F24" s="660">
        <f t="shared" si="4"/>
        <v>11237.366666666669</v>
      </c>
      <c r="G24" s="666">
        <f t="shared" si="5"/>
        <v>2161.6001308475179</v>
      </c>
      <c r="H24" s="661">
        <f t="shared" si="6"/>
        <v>2161.6001308475179</v>
      </c>
      <c r="I24" s="662">
        <f t="shared" si="7"/>
        <v>0</v>
      </c>
      <c r="J24" s="662"/>
      <c r="K24" s="132"/>
      <c r="L24" s="665">
        <f t="shared" si="0"/>
        <v>0</v>
      </c>
      <c r="M24" s="132"/>
      <c r="N24" s="665">
        <f t="shared" si="1"/>
        <v>0</v>
      </c>
      <c r="O24" s="665">
        <f t="shared" si="2"/>
        <v>0</v>
      </c>
      <c r="P24" s="631"/>
    </row>
    <row r="25" spans="2:16">
      <c r="B25" s="9" t="str">
        <f t="shared" si="8"/>
        <v/>
      </c>
      <c r="C25" s="658">
        <f>IF(D11="","-",+C24+1)</f>
        <v>2030</v>
      </c>
      <c r="D25" s="660">
        <f>IF(F24+SUM(E$17:E24)=D$10,F24,D$10-SUM(E$17:E24))</f>
        <v>11237.366666666669</v>
      </c>
      <c r="E25" s="69">
        <f t="shared" si="3"/>
        <v>901.49023809523806</v>
      </c>
      <c r="F25" s="660">
        <f t="shared" si="4"/>
        <v>10335.876428571431</v>
      </c>
      <c r="G25" s="666">
        <f t="shared" si="5"/>
        <v>2064.4093451953945</v>
      </c>
      <c r="H25" s="661">
        <f t="shared" si="6"/>
        <v>2064.4093451953945</v>
      </c>
      <c r="I25" s="662">
        <f t="shared" si="7"/>
        <v>0</v>
      </c>
      <c r="J25" s="662"/>
      <c r="K25" s="132"/>
      <c r="L25" s="665">
        <f t="shared" si="0"/>
        <v>0</v>
      </c>
      <c r="M25" s="132"/>
      <c r="N25" s="665">
        <f t="shared" si="1"/>
        <v>0</v>
      </c>
      <c r="O25" s="665">
        <f t="shared" si="2"/>
        <v>0</v>
      </c>
      <c r="P25" s="631"/>
    </row>
    <row r="26" spans="2:16">
      <c r="B26" s="9" t="str">
        <f t="shared" si="8"/>
        <v/>
      </c>
      <c r="C26" s="658">
        <f>IF(D11="","-",+C25+1)</f>
        <v>2031</v>
      </c>
      <c r="D26" s="660">
        <f>IF(F25+SUM(E$17:E25)=D$10,F25,D$10-SUM(E$17:E25))</f>
        <v>10335.876428571431</v>
      </c>
      <c r="E26" s="69">
        <f t="shared" si="3"/>
        <v>901.49023809523806</v>
      </c>
      <c r="F26" s="660">
        <f t="shared" si="4"/>
        <v>9434.3861904761943</v>
      </c>
      <c r="G26" s="666">
        <f t="shared" si="5"/>
        <v>1967.2185595432709</v>
      </c>
      <c r="H26" s="661">
        <f t="shared" si="6"/>
        <v>1967.2185595432709</v>
      </c>
      <c r="I26" s="662">
        <f t="shared" si="7"/>
        <v>0</v>
      </c>
      <c r="J26" s="662"/>
      <c r="K26" s="132"/>
      <c r="L26" s="665">
        <f t="shared" si="0"/>
        <v>0</v>
      </c>
      <c r="M26" s="132"/>
      <c r="N26" s="665">
        <f t="shared" si="1"/>
        <v>0</v>
      </c>
      <c r="O26" s="665">
        <f t="shared" si="2"/>
        <v>0</v>
      </c>
      <c r="P26" s="631"/>
    </row>
    <row r="27" spans="2:16">
      <c r="B27" s="9" t="str">
        <f t="shared" si="8"/>
        <v/>
      </c>
      <c r="C27" s="658">
        <f>IF(D11="","-",+C26+1)</f>
        <v>2032</v>
      </c>
      <c r="D27" s="660">
        <f>IF(F26+SUM(E$17:E26)=D$10,F26,D$10-SUM(E$17:E26))</f>
        <v>9434.3861904761943</v>
      </c>
      <c r="E27" s="69">
        <f t="shared" si="3"/>
        <v>901.49023809523806</v>
      </c>
      <c r="F27" s="660">
        <f t="shared" si="4"/>
        <v>8532.8959523809572</v>
      </c>
      <c r="G27" s="666">
        <f t="shared" si="5"/>
        <v>1870.0277738911473</v>
      </c>
      <c r="H27" s="661">
        <f t="shared" si="6"/>
        <v>1870.0277738911473</v>
      </c>
      <c r="I27" s="662">
        <f t="shared" si="7"/>
        <v>0</v>
      </c>
      <c r="J27" s="662"/>
      <c r="K27" s="132"/>
      <c r="L27" s="665">
        <f t="shared" si="0"/>
        <v>0</v>
      </c>
      <c r="M27" s="132"/>
      <c r="N27" s="665">
        <f t="shared" si="1"/>
        <v>0</v>
      </c>
      <c r="O27" s="665">
        <f t="shared" si="2"/>
        <v>0</v>
      </c>
      <c r="P27" s="631"/>
    </row>
    <row r="28" spans="2:16">
      <c r="B28" s="9" t="str">
        <f t="shared" si="8"/>
        <v/>
      </c>
      <c r="C28" s="658">
        <f>IF(D11="","-",+C27+1)</f>
        <v>2033</v>
      </c>
      <c r="D28" s="660">
        <f>IF(F27+SUM(E$17:E27)=D$10,F27,D$10-SUM(E$17:E27))</f>
        <v>8532.8959523809572</v>
      </c>
      <c r="E28" s="69">
        <f t="shared" si="3"/>
        <v>901.49023809523806</v>
      </c>
      <c r="F28" s="660">
        <f t="shared" si="4"/>
        <v>7631.4057142857191</v>
      </c>
      <c r="G28" s="666">
        <f t="shared" si="5"/>
        <v>1772.8369882390239</v>
      </c>
      <c r="H28" s="661">
        <f t="shared" si="6"/>
        <v>1772.8369882390239</v>
      </c>
      <c r="I28" s="662">
        <f t="shared" si="7"/>
        <v>0</v>
      </c>
      <c r="J28" s="662"/>
      <c r="K28" s="132"/>
      <c r="L28" s="665">
        <f t="shared" si="0"/>
        <v>0</v>
      </c>
      <c r="M28" s="132"/>
      <c r="N28" s="665">
        <f t="shared" si="1"/>
        <v>0</v>
      </c>
      <c r="O28" s="665">
        <f t="shared" si="2"/>
        <v>0</v>
      </c>
      <c r="P28" s="631"/>
    </row>
    <row r="29" spans="2:16">
      <c r="B29" s="9" t="str">
        <f t="shared" si="8"/>
        <v/>
      </c>
      <c r="C29" s="658">
        <f>IF(D11="","-",+C28+1)</f>
        <v>2034</v>
      </c>
      <c r="D29" s="660">
        <f>IF(F28+SUM(E$17:E28)=D$10,F28,D$10-SUM(E$17:E28))</f>
        <v>7631.4057142857191</v>
      </c>
      <c r="E29" s="69">
        <f t="shared" si="3"/>
        <v>901.49023809523806</v>
      </c>
      <c r="F29" s="660">
        <f t="shared" si="4"/>
        <v>6729.9154761904811</v>
      </c>
      <c r="G29" s="666">
        <f t="shared" si="5"/>
        <v>1675.6462025869</v>
      </c>
      <c r="H29" s="661">
        <f t="shared" si="6"/>
        <v>1675.6462025869</v>
      </c>
      <c r="I29" s="662">
        <f t="shared" si="7"/>
        <v>0</v>
      </c>
      <c r="J29" s="662"/>
      <c r="K29" s="132"/>
      <c r="L29" s="665">
        <f t="shared" si="0"/>
        <v>0</v>
      </c>
      <c r="M29" s="132"/>
      <c r="N29" s="665">
        <f t="shared" si="1"/>
        <v>0</v>
      </c>
      <c r="O29" s="665">
        <f t="shared" si="2"/>
        <v>0</v>
      </c>
      <c r="P29" s="631"/>
    </row>
    <row r="30" spans="2:16">
      <c r="B30" s="9" t="str">
        <f t="shared" si="8"/>
        <v/>
      </c>
      <c r="C30" s="658">
        <f>IF(D11="","-",+C29+1)</f>
        <v>2035</v>
      </c>
      <c r="D30" s="660">
        <f>IF(F29+SUM(E$17:E29)=D$10,F29,D$10-SUM(E$17:E29))</f>
        <v>6729.9154761904811</v>
      </c>
      <c r="E30" s="69">
        <f t="shared" si="3"/>
        <v>901.49023809523806</v>
      </c>
      <c r="F30" s="660">
        <f t="shared" si="4"/>
        <v>5828.425238095243</v>
      </c>
      <c r="G30" s="666">
        <f t="shared" si="5"/>
        <v>1578.4554169347764</v>
      </c>
      <c r="H30" s="661">
        <f t="shared" si="6"/>
        <v>1578.4554169347764</v>
      </c>
      <c r="I30" s="662">
        <f t="shared" si="7"/>
        <v>0</v>
      </c>
      <c r="J30" s="662"/>
      <c r="K30" s="132"/>
      <c r="L30" s="665">
        <f t="shared" si="0"/>
        <v>0</v>
      </c>
      <c r="M30" s="132"/>
      <c r="N30" s="665">
        <f t="shared" si="1"/>
        <v>0</v>
      </c>
      <c r="O30" s="665">
        <f t="shared" si="2"/>
        <v>0</v>
      </c>
      <c r="P30" s="631"/>
    </row>
    <row r="31" spans="2:16">
      <c r="B31" s="9" t="str">
        <f t="shared" si="8"/>
        <v/>
      </c>
      <c r="C31" s="658">
        <f>IF(D11="","-",+C30+1)</f>
        <v>2036</v>
      </c>
      <c r="D31" s="660">
        <f>IF(F30+SUM(E$17:E30)=D$10,F30,D$10-SUM(E$17:E30))</f>
        <v>5828.425238095243</v>
      </c>
      <c r="E31" s="69">
        <f t="shared" si="3"/>
        <v>901.49023809523806</v>
      </c>
      <c r="F31" s="660">
        <f t="shared" si="4"/>
        <v>4926.9350000000049</v>
      </c>
      <c r="G31" s="666">
        <f t="shared" si="5"/>
        <v>1481.2646312826528</v>
      </c>
      <c r="H31" s="661">
        <f t="shared" si="6"/>
        <v>1481.2646312826528</v>
      </c>
      <c r="I31" s="662">
        <f t="shared" si="7"/>
        <v>0</v>
      </c>
      <c r="J31" s="662"/>
      <c r="K31" s="132"/>
      <c r="L31" s="665">
        <f t="shared" si="0"/>
        <v>0</v>
      </c>
      <c r="M31" s="132"/>
      <c r="N31" s="665">
        <f t="shared" si="1"/>
        <v>0</v>
      </c>
      <c r="O31" s="665">
        <f t="shared" si="2"/>
        <v>0</v>
      </c>
      <c r="P31" s="631"/>
    </row>
    <row r="32" spans="2:16">
      <c r="B32" s="9" t="str">
        <f t="shared" si="8"/>
        <v/>
      </c>
      <c r="C32" s="658">
        <f>IF(D11="","-",+C31+1)</f>
        <v>2037</v>
      </c>
      <c r="D32" s="660">
        <f>IF(F31+SUM(E$17:E31)=D$10,F31,D$10-SUM(E$17:E31))</f>
        <v>4926.9350000000049</v>
      </c>
      <c r="E32" s="69">
        <f t="shared" si="3"/>
        <v>901.49023809523806</v>
      </c>
      <c r="F32" s="660">
        <f t="shared" si="4"/>
        <v>4025.4447619047669</v>
      </c>
      <c r="G32" s="666">
        <f t="shared" si="5"/>
        <v>1384.0738456305289</v>
      </c>
      <c r="H32" s="661">
        <f t="shared" si="6"/>
        <v>1384.0738456305289</v>
      </c>
      <c r="I32" s="662">
        <f t="shared" si="7"/>
        <v>0</v>
      </c>
      <c r="J32" s="662"/>
      <c r="K32" s="132"/>
      <c r="L32" s="665">
        <f t="shared" si="0"/>
        <v>0</v>
      </c>
      <c r="M32" s="132"/>
      <c r="N32" s="665">
        <f t="shared" si="1"/>
        <v>0</v>
      </c>
      <c r="O32" s="665">
        <f t="shared" si="2"/>
        <v>0</v>
      </c>
      <c r="P32" s="631"/>
    </row>
    <row r="33" spans="2:16">
      <c r="B33" s="9" t="str">
        <f t="shared" si="8"/>
        <v/>
      </c>
      <c r="C33" s="658">
        <f>IF(D11="","-",+C32+1)</f>
        <v>2038</v>
      </c>
      <c r="D33" s="660">
        <f>IF(F32+SUM(E$17:E32)=D$10,F32,D$10-SUM(E$17:E32))</f>
        <v>4025.4447619047669</v>
      </c>
      <c r="E33" s="69">
        <f t="shared" si="3"/>
        <v>901.49023809523806</v>
      </c>
      <c r="F33" s="660">
        <f t="shared" si="4"/>
        <v>3123.9545238095288</v>
      </c>
      <c r="G33" s="666">
        <f t="shared" si="5"/>
        <v>1286.8830599784053</v>
      </c>
      <c r="H33" s="661">
        <f t="shared" si="6"/>
        <v>1286.8830599784053</v>
      </c>
      <c r="I33" s="662">
        <f t="shared" si="7"/>
        <v>0</v>
      </c>
      <c r="J33" s="662"/>
      <c r="K33" s="132"/>
      <c r="L33" s="665">
        <f t="shared" si="0"/>
        <v>0</v>
      </c>
      <c r="M33" s="132"/>
      <c r="N33" s="665">
        <f t="shared" si="1"/>
        <v>0</v>
      </c>
      <c r="O33" s="665">
        <f t="shared" si="2"/>
        <v>0</v>
      </c>
      <c r="P33" s="631"/>
    </row>
    <row r="34" spans="2:16">
      <c r="B34" s="9" t="str">
        <f t="shared" si="8"/>
        <v/>
      </c>
      <c r="C34" s="658">
        <f>IF(D11="","-",+C33+1)</f>
        <v>2039</v>
      </c>
      <c r="D34" s="660">
        <f>IF(F33+SUM(E$17:E33)=D$10,F33,D$10-SUM(E$17:E33))</f>
        <v>3123.9545238095288</v>
      </c>
      <c r="E34" s="69">
        <f t="shared" si="3"/>
        <v>901.49023809523806</v>
      </c>
      <c r="F34" s="660">
        <f t="shared" si="4"/>
        <v>2222.4642857142908</v>
      </c>
      <c r="G34" s="666">
        <f t="shared" si="5"/>
        <v>1189.6922743262817</v>
      </c>
      <c r="H34" s="661">
        <f t="shared" si="6"/>
        <v>1189.6922743262817</v>
      </c>
      <c r="I34" s="662">
        <f t="shared" si="7"/>
        <v>0</v>
      </c>
      <c r="J34" s="662"/>
      <c r="K34" s="132"/>
      <c r="L34" s="665">
        <f t="shared" si="0"/>
        <v>0</v>
      </c>
      <c r="M34" s="132"/>
      <c r="N34" s="665">
        <f t="shared" si="1"/>
        <v>0</v>
      </c>
      <c r="O34" s="665">
        <f t="shared" si="2"/>
        <v>0</v>
      </c>
      <c r="P34" s="631"/>
    </row>
    <row r="35" spans="2:16">
      <c r="B35" s="9" t="str">
        <f t="shared" si="8"/>
        <v/>
      </c>
      <c r="C35" s="658">
        <f>IF(D11="","-",+C34+1)</f>
        <v>2040</v>
      </c>
      <c r="D35" s="660">
        <f>IF(F34+SUM(E$17:E34)=D$10,F34,D$10-SUM(E$17:E34))</f>
        <v>2222.4642857142908</v>
      </c>
      <c r="E35" s="69">
        <f t="shared" si="3"/>
        <v>901.49023809523806</v>
      </c>
      <c r="F35" s="660">
        <f t="shared" si="4"/>
        <v>1320.9740476190527</v>
      </c>
      <c r="G35" s="666">
        <f t="shared" si="5"/>
        <v>1092.5014886741581</v>
      </c>
      <c r="H35" s="661">
        <f t="shared" si="6"/>
        <v>1092.5014886741581</v>
      </c>
      <c r="I35" s="662">
        <f t="shared" si="7"/>
        <v>0</v>
      </c>
      <c r="J35" s="662"/>
      <c r="K35" s="132"/>
      <c r="L35" s="665">
        <f t="shared" si="0"/>
        <v>0</v>
      </c>
      <c r="M35" s="132"/>
      <c r="N35" s="665">
        <f t="shared" si="1"/>
        <v>0</v>
      </c>
      <c r="O35" s="665">
        <f t="shared" si="2"/>
        <v>0</v>
      </c>
      <c r="P35" s="631"/>
    </row>
    <row r="36" spans="2:16">
      <c r="B36" s="9" t="str">
        <f t="shared" si="8"/>
        <v/>
      </c>
      <c r="C36" s="658">
        <f>IF(D11="","-",+C35+1)</f>
        <v>2041</v>
      </c>
      <c r="D36" s="660">
        <f>IF(F35+SUM(E$17:E35)=D$10,F35,D$10-SUM(E$17:E35))</f>
        <v>1320.9740476190527</v>
      </c>
      <c r="E36" s="69">
        <f t="shared" si="3"/>
        <v>901.49023809523806</v>
      </c>
      <c r="F36" s="660">
        <f t="shared" si="4"/>
        <v>419.48380952381467</v>
      </c>
      <c r="G36" s="666">
        <f t="shared" si="5"/>
        <v>995.31070302203432</v>
      </c>
      <c r="H36" s="661">
        <f t="shared" si="6"/>
        <v>995.31070302203432</v>
      </c>
      <c r="I36" s="662">
        <f t="shared" si="7"/>
        <v>0</v>
      </c>
      <c r="J36" s="662"/>
      <c r="K36" s="132"/>
      <c r="L36" s="665">
        <f t="shared" si="0"/>
        <v>0</v>
      </c>
      <c r="M36" s="132"/>
      <c r="N36" s="665">
        <f t="shared" si="1"/>
        <v>0</v>
      </c>
      <c r="O36" s="665">
        <f t="shared" si="2"/>
        <v>0</v>
      </c>
      <c r="P36" s="631"/>
    </row>
    <row r="37" spans="2:16">
      <c r="B37" s="9" t="str">
        <f t="shared" si="8"/>
        <v/>
      </c>
      <c r="C37" s="658">
        <f>IF(D11="","-",+C36+1)</f>
        <v>2042</v>
      </c>
      <c r="D37" s="660">
        <f>IF(F36+SUM(E$17:E36)=D$10,F36,D$10-SUM(E$17:E36))</f>
        <v>419.48380952381467</v>
      </c>
      <c r="E37" s="69">
        <f t="shared" si="3"/>
        <v>419.48380952381467</v>
      </c>
      <c r="F37" s="660">
        <f t="shared" si="4"/>
        <v>0</v>
      </c>
      <c r="G37" s="666">
        <f t="shared" si="5"/>
        <v>442.09634557418184</v>
      </c>
      <c r="H37" s="661">
        <f t="shared" si="6"/>
        <v>442.09634557418184</v>
      </c>
      <c r="I37" s="662">
        <f t="shared" si="7"/>
        <v>0</v>
      </c>
      <c r="J37" s="662"/>
      <c r="K37" s="132"/>
      <c r="L37" s="665">
        <f t="shared" si="0"/>
        <v>0</v>
      </c>
      <c r="M37" s="132"/>
      <c r="N37" s="665">
        <f t="shared" si="1"/>
        <v>0</v>
      </c>
      <c r="O37" s="665">
        <f t="shared" si="2"/>
        <v>0</v>
      </c>
      <c r="P37" s="631"/>
    </row>
    <row r="38" spans="2:16">
      <c r="B38" s="9" t="str">
        <f t="shared" si="8"/>
        <v/>
      </c>
      <c r="C38" s="658">
        <f>IF(D11="","-",+C37+1)</f>
        <v>2043</v>
      </c>
      <c r="D38" s="660">
        <f>IF(F37+SUM(E$17:E37)=D$10,F37,D$10-SUM(E$17:E37))</f>
        <v>0</v>
      </c>
      <c r="E38" s="69">
        <f t="shared" si="3"/>
        <v>0</v>
      </c>
      <c r="F38" s="660">
        <f t="shared" si="4"/>
        <v>0</v>
      </c>
      <c r="G38" s="666">
        <f t="shared" si="5"/>
        <v>0</v>
      </c>
      <c r="H38" s="661">
        <f t="shared" si="6"/>
        <v>0</v>
      </c>
      <c r="I38" s="662">
        <f t="shared" si="7"/>
        <v>0</v>
      </c>
      <c r="J38" s="662"/>
      <c r="K38" s="132"/>
      <c r="L38" s="665">
        <f t="shared" si="0"/>
        <v>0</v>
      </c>
      <c r="M38" s="132"/>
      <c r="N38" s="665">
        <f t="shared" si="1"/>
        <v>0</v>
      </c>
      <c r="O38" s="665">
        <f t="shared" si="2"/>
        <v>0</v>
      </c>
      <c r="P38" s="631"/>
    </row>
    <row r="39" spans="2:16">
      <c r="B39" s="9" t="str">
        <f t="shared" si="8"/>
        <v/>
      </c>
      <c r="C39" s="658">
        <f>IF(D11="","-",+C38+1)</f>
        <v>2044</v>
      </c>
      <c r="D39" s="660">
        <f>IF(F38+SUM(E$17:E38)=D$10,F38,D$10-SUM(E$17:E38))</f>
        <v>0</v>
      </c>
      <c r="E39" s="69">
        <f t="shared" si="3"/>
        <v>0</v>
      </c>
      <c r="F39" s="660">
        <f t="shared" si="4"/>
        <v>0</v>
      </c>
      <c r="G39" s="666">
        <f t="shared" si="5"/>
        <v>0</v>
      </c>
      <c r="H39" s="661">
        <f t="shared" si="6"/>
        <v>0</v>
      </c>
      <c r="I39" s="662">
        <f t="shared" si="7"/>
        <v>0</v>
      </c>
      <c r="J39" s="662"/>
      <c r="K39" s="132"/>
      <c r="L39" s="665">
        <f t="shared" si="0"/>
        <v>0</v>
      </c>
      <c r="M39" s="132"/>
      <c r="N39" s="665">
        <f t="shared" si="1"/>
        <v>0</v>
      </c>
      <c r="O39" s="665">
        <f t="shared" si="2"/>
        <v>0</v>
      </c>
      <c r="P39" s="631"/>
    </row>
    <row r="40" spans="2:16">
      <c r="B40" s="9" t="str">
        <f t="shared" si="8"/>
        <v/>
      </c>
      <c r="C40" s="658">
        <f>IF(D11="","-",+C39+1)</f>
        <v>2045</v>
      </c>
      <c r="D40" s="660">
        <f>IF(F39+SUM(E$17:E39)=D$10,F39,D$10-SUM(E$17:E39))</f>
        <v>0</v>
      </c>
      <c r="E40" s="69">
        <f t="shared" si="3"/>
        <v>0</v>
      </c>
      <c r="F40" s="660">
        <f t="shared" si="4"/>
        <v>0</v>
      </c>
      <c r="G40" s="666">
        <f t="shared" si="5"/>
        <v>0</v>
      </c>
      <c r="H40" s="661">
        <f t="shared" si="6"/>
        <v>0</v>
      </c>
      <c r="I40" s="662">
        <f t="shared" si="7"/>
        <v>0</v>
      </c>
      <c r="J40" s="662"/>
      <c r="K40" s="132"/>
      <c r="L40" s="665">
        <f t="shared" si="0"/>
        <v>0</v>
      </c>
      <c r="M40" s="132"/>
      <c r="N40" s="665">
        <f t="shared" si="1"/>
        <v>0</v>
      </c>
      <c r="O40" s="665">
        <f t="shared" si="2"/>
        <v>0</v>
      </c>
      <c r="P40" s="631"/>
    </row>
    <row r="41" spans="2:16">
      <c r="B41" s="9" t="str">
        <f t="shared" si="8"/>
        <v/>
      </c>
      <c r="C41" s="658">
        <f>IF(D11="","-",+C40+1)</f>
        <v>2046</v>
      </c>
      <c r="D41" s="660">
        <f>IF(F40+SUM(E$17:E40)=D$10,F40,D$10-SUM(E$17:E40))</f>
        <v>0</v>
      </c>
      <c r="E41" s="69">
        <f t="shared" si="3"/>
        <v>0</v>
      </c>
      <c r="F41" s="660">
        <f t="shared" si="4"/>
        <v>0</v>
      </c>
      <c r="G41" s="666">
        <f t="shared" si="5"/>
        <v>0</v>
      </c>
      <c r="H41" s="661">
        <f t="shared" si="6"/>
        <v>0</v>
      </c>
      <c r="I41" s="662">
        <f t="shared" si="7"/>
        <v>0</v>
      </c>
      <c r="J41" s="662"/>
      <c r="K41" s="132"/>
      <c r="L41" s="665">
        <f t="shared" si="0"/>
        <v>0</v>
      </c>
      <c r="M41" s="132"/>
      <c r="N41" s="665">
        <f t="shared" si="1"/>
        <v>0</v>
      </c>
      <c r="O41" s="665">
        <f t="shared" si="2"/>
        <v>0</v>
      </c>
      <c r="P41" s="631"/>
    </row>
    <row r="42" spans="2:16">
      <c r="B42" s="9" t="str">
        <f t="shared" si="8"/>
        <v/>
      </c>
      <c r="C42" s="658">
        <f>IF(D11="","-",+C41+1)</f>
        <v>2047</v>
      </c>
      <c r="D42" s="660">
        <f>IF(F41+SUM(E$17:E41)=D$10,F41,D$10-SUM(E$17:E41))</f>
        <v>0</v>
      </c>
      <c r="E42" s="69">
        <f t="shared" si="3"/>
        <v>0</v>
      </c>
      <c r="F42" s="660">
        <f t="shared" si="4"/>
        <v>0</v>
      </c>
      <c r="G42" s="666">
        <f t="shared" si="5"/>
        <v>0</v>
      </c>
      <c r="H42" s="661">
        <f t="shared" si="6"/>
        <v>0</v>
      </c>
      <c r="I42" s="662">
        <f t="shared" si="7"/>
        <v>0</v>
      </c>
      <c r="J42" s="662"/>
      <c r="K42" s="132"/>
      <c r="L42" s="665">
        <f t="shared" si="0"/>
        <v>0</v>
      </c>
      <c r="M42" s="132"/>
      <c r="N42" s="665">
        <f t="shared" si="1"/>
        <v>0</v>
      </c>
      <c r="O42" s="665">
        <f t="shared" si="2"/>
        <v>0</v>
      </c>
      <c r="P42" s="631"/>
    </row>
    <row r="43" spans="2:16">
      <c r="B43" s="9" t="str">
        <f t="shared" si="8"/>
        <v/>
      </c>
      <c r="C43" s="658">
        <f>IF(D11="","-",+C42+1)</f>
        <v>2048</v>
      </c>
      <c r="D43" s="660">
        <f>IF(F42+SUM(E$17:E42)=D$10,F42,D$10-SUM(E$17:E42))</f>
        <v>0</v>
      </c>
      <c r="E43" s="69">
        <f t="shared" si="3"/>
        <v>0</v>
      </c>
      <c r="F43" s="660">
        <f t="shared" si="4"/>
        <v>0</v>
      </c>
      <c r="G43" s="666">
        <f t="shared" si="5"/>
        <v>0</v>
      </c>
      <c r="H43" s="661">
        <f t="shared" si="6"/>
        <v>0</v>
      </c>
      <c r="I43" s="662">
        <f t="shared" si="7"/>
        <v>0</v>
      </c>
      <c r="J43" s="662"/>
      <c r="K43" s="132"/>
      <c r="L43" s="665">
        <f t="shared" si="0"/>
        <v>0</v>
      </c>
      <c r="M43" s="132"/>
      <c r="N43" s="665">
        <f t="shared" si="1"/>
        <v>0</v>
      </c>
      <c r="O43" s="665">
        <f t="shared" si="2"/>
        <v>0</v>
      </c>
      <c r="P43" s="631"/>
    </row>
    <row r="44" spans="2:16">
      <c r="B44" s="9" t="str">
        <f t="shared" si="8"/>
        <v/>
      </c>
      <c r="C44" s="658">
        <f>IF(D11="","-",+C43+1)</f>
        <v>2049</v>
      </c>
      <c r="D44" s="660">
        <f>IF(F43+SUM(E$17:E43)=D$10,F43,D$10-SUM(E$17:E43))</f>
        <v>0</v>
      </c>
      <c r="E44" s="69">
        <f t="shared" si="3"/>
        <v>0</v>
      </c>
      <c r="F44" s="660">
        <f t="shared" si="4"/>
        <v>0</v>
      </c>
      <c r="G44" s="666">
        <f t="shared" si="5"/>
        <v>0</v>
      </c>
      <c r="H44" s="661">
        <f t="shared" si="6"/>
        <v>0</v>
      </c>
      <c r="I44" s="662">
        <f t="shared" si="7"/>
        <v>0</v>
      </c>
      <c r="J44" s="662"/>
      <c r="K44" s="132"/>
      <c r="L44" s="665">
        <f t="shared" si="0"/>
        <v>0</v>
      </c>
      <c r="M44" s="132"/>
      <c r="N44" s="665">
        <f t="shared" si="1"/>
        <v>0</v>
      </c>
      <c r="O44" s="665">
        <f t="shared" si="2"/>
        <v>0</v>
      </c>
      <c r="P44" s="631"/>
    </row>
    <row r="45" spans="2:16">
      <c r="B45" s="9" t="str">
        <f t="shared" si="8"/>
        <v/>
      </c>
      <c r="C45" s="658">
        <f>IF(D11="","-",+C44+1)</f>
        <v>2050</v>
      </c>
      <c r="D45" s="660">
        <f>IF(F44+SUM(E$17:E44)=D$10,F44,D$10-SUM(E$17:E44))</f>
        <v>0</v>
      </c>
      <c r="E45" s="69">
        <f t="shared" si="3"/>
        <v>0</v>
      </c>
      <c r="F45" s="660">
        <f t="shared" si="4"/>
        <v>0</v>
      </c>
      <c r="G45" s="666">
        <f t="shared" si="5"/>
        <v>0</v>
      </c>
      <c r="H45" s="661">
        <f t="shared" si="6"/>
        <v>0</v>
      </c>
      <c r="I45" s="662">
        <f t="shared" si="7"/>
        <v>0</v>
      </c>
      <c r="J45" s="662"/>
      <c r="K45" s="132"/>
      <c r="L45" s="665">
        <f t="shared" si="0"/>
        <v>0</v>
      </c>
      <c r="M45" s="132"/>
      <c r="N45" s="665">
        <f t="shared" si="1"/>
        <v>0</v>
      </c>
      <c r="O45" s="665">
        <f t="shared" si="2"/>
        <v>0</v>
      </c>
      <c r="P45" s="631"/>
    </row>
    <row r="46" spans="2:16">
      <c r="B46" s="9" t="str">
        <f t="shared" si="8"/>
        <v/>
      </c>
      <c r="C46" s="658">
        <f>IF(D11="","-",+C45+1)</f>
        <v>2051</v>
      </c>
      <c r="D46" s="660">
        <f>IF(F45+SUM(E$17:E45)=D$10,F45,D$10-SUM(E$17:E45))</f>
        <v>0</v>
      </c>
      <c r="E46" s="69">
        <f t="shared" si="3"/>
        <v>0</v>
      </c>
      <c r="F46" s="660">
        <f t="shared" si="4"/>
        <v>0</v>
      </c>
      <c r="G46" s="666">
        <f t="shared" si="5"/>
        <v>0</v>
      </c>
      <c r="H46" s="661">
        <f t="shared" si="6"/>
        <v>0</v>
      </c>
      <c r="I46" s="662">
        <f t="shared" si="7"/>
        <v>0</v>
      </c>
      <c r="J46" s="662"/>
      <c r="K46" s="132"/>
      <c r="L46" s="665">
        <f t="shared" si="0"/>
        <v>0</v>
      </c>
      <c r="M46" s="132"/>
      <c r="N46" s="665">
        <f t="shared" si="1"/>
        <v>0</v>
      </c>
      <c r="O46" s="665">
        <f t="shared" si="2"/>
        <v>0</v>
      </c>
      <c r="P46" s="631"/>
    </row>
    <row r="47" spans="2:16">
      <c r="B47" s="9" t="str">
        <f t="shared" si="8"/>
        <v/>
      </c>
      <c r="C47" s="658">
        <f>IF(D11="","-",+C46+1)</f>
        <v>2052</v>
      </c>
      <c r="D47" s="660">
        <f>IF(F46+SUM(E$17:E46)=D$10,F46,D$10-SUM(E$17:E46))</f>
        <v>0</v>
      </c>
      <c r="E47" s="69">
        <f t="shared" si="3"/>
        <v>0</v>
      </c>
      <c r="F47" s="660">
        <f t="shared" si="4"/>
        <v>0</v>
      </c>
      <c r="G47" s="666">
        <f t="shared" si="5"/>
        <v>0</v>
      </c>
      <c r="H47" s="661">
        <f t="shared" si="6"/>
        <v>0</v>
      </c>
      <c r="I47" s="662">
        <f t="shared" si="7"/>
        <v>0</v>
      </c>
      <c r="J47" s="662"/>
      <c r="K47" s="132"/>
      <c r="L47" s="665">
        <f t="shared" si="0"/>
        <v>0</v>
      </c>
      <c r="M47" s="132"/>
      <c r="N47" s="665">
        <f t="shared" si="1"/>
        <v>0</v>
      </c>
      <c r="O47" s="665">
        <f t="shared" si="2"/>
        <v>0</v>
      </c>
      <c r="P47" s="631"/>
    </row>
    <row r="48" spans="2:16">
      <c r="B48" s="9" t="str">
        <f t="shared" si="8"/>
        <v/>
      </c>
      <c r="C48" s="658">
        <f>IF(D11="","-",+C47+1)</f>
        <v>2053</v>
      </c>
      <c r="D48" s="660">
        <f>IF(F47+SUM(E$17:E47)=D$10,F47,D$10-SUM(E$17:E47))</f>
        <v>0</v>
      </c>
      <c r="E48" s="69">
        <f t="shared" si="3"/>
        <v>0</v>
      </c>
      <c r="F48" s="660">
        <f t="shared" si="4"/>
        <v>0</v>
      </c>
      <c r="G48" s="666">
        <f t="shared" si="5"/>
        <v>0</v>
      </c>
      <c r="H48" s="661">
        <f t="shared" si="6"/>
        <v>0</v>
      </c>
      <c r="I48" s="662">
        <f t="shared" si="7"/>
        <v>0</v>
      </c>
      <c r="J48" s="662"/>
      <c r="K48" s="132"/>
      <c r="L48" s="665">
        <f t="shared" si="0"/>
        <v>0</v>
      </c>
      <c r="M48" s="132"/>
      <c r="N48" s="665">
        <f t="shared" si="1"/>
        <v>0</v>
      </c>
      <c r="O48" s="665">
        <f t="shared" si="2"/>
        <v>0</v>
      </c>
      <c r="P48" s="631"/>
    </row>
    <row r="49" spans="2:16">
      <c r="B49" s="9" t="str">
        <f t="shared" si="8"/>
        <v/>
      </c>
      <c r="C49" s="658">
        <f>IF(D11="","-",+C48+1)</f>
        <v>2054</v>
      </c>
      <c r="D49" s="660">
        <f>IF(F48+SUM(E$17:E48)=D$10,F48,D$10-SUM(E$17:E48))</f>
        <v>0</v>
      </c>
      <c r="E49" s="69">
        <f t="shared" si="3"/>
        <v>0</v>
      </c>
      <c r="F49" s="660">
        <f t="shared" si="4"/>
        <v>0</v>
      </c>
      <c r="G49" s="666">
        <f t="shared" si="5"/>
        <v>0</v>
      </c>
      <c r="H49" s="661">
        <f t="shared" si="6"/>
        <v>0</v>
      </c>
      <c r="I49" s="662">
        <f t="shared" si="7"/>
        <v>0</v>
      </c>
      <c r="J49" s="662"/>
      <c r="K49" s="132"/>
      <c r="L49" s="665">
        <f t="shared" si="0"/>
        <v>0</v>
      </c>
      <c r="M49" s="132"/>
      <c r="N49" s="665">
        <f t="shared" si="1"/>
        <v>0</v>
      </c>
      <c r="O49" s="665">
        <f t="shared" si="2"/>
        <v>0</v>
      </c>
      <c r="P49" s="631"/>
    </row>
    <row r="50" spans="2:16">
      <c r="B50" s="9" t="str">
        <f t="shared" si="8"/>
        <v/>
      </c>
      <c r="C50" s="658">
        <f>IF(D11="","-",+C49+1)</f>
        <v>2055</v>
      </c>
      <c r="D50" s="660">
        <f>IF(F49+SUM(E$17:E49)=D$10,F49,D$10-SUM(E$17:E49))</f>
        <v>0</v>
      </c>
      <c r="E50" s="69">
        <f t="shared" si="3"/>
        <v>0</v>
      </c>
      <c r="F50" s="660">
        <f t="shared" si="4"/>
        <v>0</v>
      </c>
      <c r="G50" s="666">
        <f t="shared" si="5"/>
        <v>0</v>
      </c>
      <c r="H50" s="661">
        <f t="shared" si="6"/>
        <v>0</v>
      </c>
      <c r="I50" s="662">
        <f t="shared" si="7"/>
        <v>0</v>
      </c>
      <c r="J50" s="662"/>
      <c r="K50" s="132"/>
      <c r="L50" s="665">
        <f t="shared" si="0"/>
        <v>0</v>
      </c>
      <c r="M50" s="132"/>
      <c r="N50" s="665">
        <f t="shared" si="1"/>
        <v>0</v>
      </c>
      <c r="O50" s="665">
        <f t="shared" si="2"/>
        <v>0</v>
      </c>
      <c r="P50" s="631"/>
    </row>
    <row r="51" spans="2:16">
      <c r="B51" s="9" t="str">
        <f t="shared" si="8"/>
        <v/>
      </c>
      <c r="C51" s="658">
        <f>IF(D11="","-",+C50+1)</f>
        <v>2056</v>
      </c>
      <c r="D51" s="660">
        <f>IF(F50+SUM(E$17:E50)=D$10,F50,D$10-SUM(E$17:E50))</f>
        <v>0</v>
      </c>
      <c r="E51" s="69">
        <f t="shared" si="3"/>
        <v>0</v>
      </c>
      <c r="F51" s="660">
        <f t="shared" si="4"/>
        <v>0</v>
      </c>
      <c r="G51" s="666">
        <f t="shared" si="5"/>
        <v>0</v>
      </c>
      <c r="H51" s="661">
        <f t="shared" si="6"/>
        <v>0</v>
      </c>
      <c r="I51" s="662">
        <f t="shared" si="7"/>
        <v>0</v>
      </c>
      <c r="J51" s="662"/>
      <c r="K51" s="132"/>
      <c r="L51" s="665">
        <f t="shared" si="0"/>
        <v>0</v>
      </c>
      <c r="M51" s="132"/>
      <c r="N51" s="665">
        <f t="shared" si="1"/>
        <v>0</v>
      </c>
      <c r="O51" s="665">
        <f t="shared" si="2"/>
        <v>0</v>
      </c>
      <c r="P51" s="631"/>
    </row>
    <row r="52" spans="2:16">
      <c r="B52" s="9" t="str">
        <f t="shared" si="8"/>
        <v/>
      </c>
      <c r="C52" s="658">
        <f>IF(D11="","-",+C51+1)</f>
        <v>2057</v>
      </c>
      <c r="D52" s="660">
        <f>IF(F51+SUM(E$17:E51)=D$10,F51,D$10-SUM(E$17:E51))</f>
        <v>0</v>
      </c>
      <c r="E52" s="69">
        <f t="shared" si="3"/>
        <v>0</v>
      </c>
      <c r="F52" s="660">
        <f t="shared" si="4"/>
        <v>0</v>
      </c>
      <c r="G52" s="666">
        <f t="shared" si="5"/>
        <v>0</v>
      </c>
      <c r="H52" s="661">
        <f t="shared" si="6"/>
        <v>0</v>
      </c>
      <c r="I52" s="662">
        <f t="shared" si="7"/>
        <v>0</v>
      </c>
      <c r="J52" s="662"/>
      <c r="K52" s="132"/>
      <c r="L52" s="665">
        <f t="shared" si="0"/>
        <v>0</v>
      </c>
      <c r="M52" s="132"/>
      <c r="N52" s="665">
        <f t="shared" si="1"/>
        <v>0</v>
      </c>
      <c r="O52" s="665">
        <f t="shared" si="2"/>
        <v>0</v>
      </c>
      <c r="P52" s="631"/>
    </row>
    <row r="53" spans="2:16">
      <c r="B53" s="9" t="str">
        <f t="shared" si="8"/>
        <v/>
      </c>
      <c r="C53" s="658">
        <f>IF(D11="","-",+C52+1)</f>
        <v>2058</v>
      </c>
      <c r="D53" s="660">
        <f>IF(F52+SUM(E$17:E52)=D$10,F52,D$10-SUM(E$17:E52))</f>
        <v>0</v>
      </c>
      <c r="E53" s="69">
        <f t="shared" si="3"/>
        <v>0</v>
      </c>
      <c r="F53" s="660">
        <f t="shared" si="4"/>
        <v>0</v>
      </c>
      <c r="G53" s="666">
        <f t="shared" si="5"/>
        <v>0</v>
      </c>
      <c r="H53" s="661">
        <f t="shared" si="6"/>
        <v>0</v>
      </c>
      <c r="I53" s="662">
        <f t="shared" si="7"/>
        <v>0</v>
      </c>
      <c r="J53" s="662"/>
      <c r="K53" s="132"/>
      <c r="L53" s="665">
        <f t="shared" si="0"/>
        <v>0</v>
      </c>
      <c r="M53" s="132"/>
      <c r="N53" s="665">
        <f t="shared" si="1"/>
        <v>0</v>
      </c>
      <c r="O53" s="665">
        <f t="shared" si="2"/>
        <v>0</v>
      </c>
      <c r="P53" s="631"/>
    </row>
    <row r="54" spans="2:16">
      <c r="B54" s="9" t="str">
        <f t="shared" si="8"/>
        <v/>
      </c>
      <c r="C54" s="658">
        <f>IF(D11="","-",+C53+1)</f>
        <v>2059</v>
      </c>
      <c r="D54" s="660">
        <f>IF(F53+SUM(E$17:E53)=D$10,F53,D$10-SUM(E$17:E53))</f>
        <v>0</v>
      </c>
      <c r="E54" s="69">
        <f t="shared" si="3"/>
        <v>0</v>
      </c>
      <c r="F54" s="660">
        <f t="shared" si="4"/>
        <v>0</v>
      </c>
      <c r="G54" s="666">
        <f t="shared" si="5"/>
        <v>0</v>
      </c>
      <c r="H54" s="661">
        <f t="shared" si="6"/>
        <v>0</v>
      </c>
      <c r="I54" s="662">
        <f t="shared" si="7"/>
        <v>0</v>
      </c>
      <c r="J54" s="662"/>
      <c r="K54" s="132"/>
      <c r="L54" s="665">
        <f t="shared" si="0"/>
        <v>0</v>
      </c>
      <c r="M54" s="132"/>
      <c r="N54" s="665">
        <f t="shared" si="1"/>
        <v>0</v>
      </c>
      <c r="O54" s="665">
        <f t="shared" si="2"/>
        <v>0</v>
      </c>
      <c r="P54" s="631"/>
    </row>
    <row r="55" spans="2:16">
      <c r="B55" s="9" t="str">
        <f t="shared" si="8"/>
        <v/>
      </c>
      <c r="C55" s="658">
        <f>IF(D11="","-",+C54+1)</f>
        <v>2060</v>
      </c>
      <c r="D55" s="660">
        <f>IF(F54+SUM(E$17:E54)=D$10,F54,D$10-SUM(E$17:E54))</f>
        <v>0</v>
      </c>
      <c r="E55" s="69">
        <f t="shared" si="3"/>
        <v>0</v>
      </c>
      <c r="F55" s="660">
        <f t="shared" si="4"/>
        <v>0</v>
      </c>
      <c r="G55" s="666">
        <f t="shared" si="5"/>
        <v>0</v>
      </c>
      <c r="H55" s="661">
        <f t="shared" si="6"/>
        <v>0</v>
      </c>
      <c r="I55" s="662">
        <f t="shared" si="7"/>
        <v>0</v>
      </c>
      <c r="J55" s="662"/>
      <c r="K55" s="132"/>
      <c r="L55" s="665">
        <f t="shared" si="0"/>
        <v>0</v>
      </c>
      <c r="M55" s="132"/>
      <c r="N55" s="665">
        <f t="shared" si="1"/>
        <v>0</v>
      </c>
      <c r="O55" s="665">
        <f t="shared" si="2"/>
        <v>0</v>
      </c>
      <c r="P55" s="631"/>
    </row>
    <row r="56" spans="2:16">
      <c r="B56" s="9" t="str">
        <f t="shared" si="8"/>
        <v/>
      </c>
      <c r="C56" s="658">
        <f>IF(D11="","-",+C55+1)</f>
        <v>2061</v>
      </c>
      <c r="D56" s="660">
        <f>IF(F55+SUM(E$17:E55)=D$10,F55,D$10-SUM(E$17:E55))</f>
        <v>0</v>
      </c>
      <c r="E56" s="69">
        <f t="shared" si="3"/>
        <v>0</v>
      </c>
      <c r="F56" s="660">
        <f t="shared" si="4"/>
        <v>0</v>
      </c>
      <c r="G56" s="666">
        <f t="shared" si="5"/>
        <v>0</v>
      </c>
      <c r="H56" s="661">
        <f t="shared" si="6"/>
        <v>0</v>
      </c>
      <c r="I56" s="662">
        <f t="shared" si="7"/>
        <v>0</v>
      </c>
      <c r="J56" s="662"/>
      <c r="K56" s="132"/>
      <c r="L56" s="665">
        <f t="shared" si="0"/>
        <v>0</v>
      </c>
      <c r="M56" s="132"/>
      <c r="N56" s="665">
        <f t="shared" si="1"/>
        <v>0</v>
      </c>
      <c r="O56" s="665">
        <f t="shared" si="2"/>
        <v>0</v>
      </c>
      <c r="P56" s="631"/>
    </row>
    <row r="57" spans="2:16">
      <c r="B57" s="9" t="str">
        <f t="shared" si="8"/>
        <v/>
      </c>
      <c r="C57" s="658">
        <f>IF(D11="","-",+C56+1)</f>
        <v>2062</v>
      </c>
      <c r="D57" s="660">
        <f>IF(F56+SUM(E$17:E56)=D$10,F56,D$10-SUM(E$17:E56))</f>
        <v>0</v>
      </c>
      <c r="E57" s="69">
        <f t="shared" si="3"/>
        <v>0</v>
      </c>
      <c r="F57" s="660">
        <f t="shared" si="4"/>
        <v>0</v>
      </c>
      <c r="G57" s="666">
        <f t="shared" si="5"/>
        <v>0</v>
      </c>
      <c r="H57" s="661">
        <f t="shared" si="6"/>
        <v>0</v>
      </c>
      <c r="I57" s="662">
        <f t="shared" si="7"/>
        <v>0</v>
      </c>
      <c r="J57" s="662"/>
      <c r="K57" s="132"/>
      <c r="L57" s="665">
        <f t="shared" si="0"/>
        <v>0</v>
      </c>
      <c r="M57" s="132"/>
      <c r="N57" s="665">
        <f t="shared" si="1"/>
        <v>0</v>
      </c>
      <c r="O57" s="665">
        <f t="shared" si="2"/>
        <v>0</v>
      </c>
      <c r="P57" s="631"/>
    </row>
    <row r="58" spans="2:16">
      <c r="B58" s="9" t="str">
        <f t="shared" si="8"/>
        <v/>
      </c>
      <c r="C58" s="658">
        <f>IF(D11="","-",+C57+1)</f>
        <v>2063</v>
      </c>
      <c r="D58" s="660">
        <f>IF(F57+SUM(E$17:E57)=D$10,F57,D$10-SUM(E$17:E57))</f>
        <v>0</v>
      </c>
      <c r="E58" s="69">
        <f t="shared" si="3"/>
        <v>0</v>
      </c>
      <c r="F58" s="660">
        <f t="shared" si="4"/>
        <v>0</v>
      </c>
      <c r="G58" s="666">
        <f t="shared" si="5"/>
        <v>0</v>
      </c>
      <c r="H58" s="661">
        <f t="shared" si="6"/>
        <v>0</v>
      </c>
      <c r="I58" s="662">
        <f t="shared" si="7"/>
        <v>0</v>
      </c>
      <c r="J58" s="662"/>
      <c r="K58" s="132"/>
      <c r="L58" s="665">
        <f t="shared" si="0"/>
        <v>0</v>
      </c>
      <c r="M58" s="132"/>
      <c r="N58" s="665">
        <f t="shared" si="1"/>
        <v>0</v>
      </c>
      <c r="O58" s="665">
        <f t="shared" si="2"/>
        <v>0</v>
      </c>
      <c r="P58" s="631"/>
    </row>
    <row r="59" spans="2:16">
      <c r="B59" s="9" t="str">
        <f t="shared" si="8"/>
        <v/>
      </c>
      <c r="C59" s="658">
        <f>IF(D11="","-",+C58+1)</f>
        <v>2064</v>
      </c>
      <c r="D59" s="660">
        <f>IF(F58+SUM(E$17:E58)=D$10,F58,D$10-SUM(E$17:E58))</f>
        <v>0</v>
      </c>
      <c r="E59" s="69">
        <f t="shared" si="3"/>
        <v>0</v>
      </c>
      <c r="F59" s="660">
        <f t="shared" si="4"/>
        <v>0</v>
      </c>
      <c r="G59" s="666">
        <f t="shared" si="5"/>
        <v>0</v>
      </c>
      <c r="H59" s="661">
        <f t="shared" si="6"/>
        <v>0</v>
      </c>
      <c r="I59" s="662">
        <f t="shared" si="7"/>
        <v>0</v>
      </c>
      <c r="J59" s="662"/>
      <c r="K59" s="132"/>
      <c r="L59" s="665">
        <f t="shared" si="0"/>
        <v>0</v>
      </c>
      <c r="M59" s="132"/>
      <c r="N59" s="665">
        <f t="shared" si="1"/>
        <v>0</v>
      </c>
      <c r="O59" s="665">
        <f t="shared" si="2"/>
        <v>0</v>
      </c>
      <c r="P59" s="631"/>
    </row>
    <row r="60" spans="2:16">
      <c r="B60" s="9" t="str">
        <f t="shared" si="8"/>
        <v/>
      </c>
      <c r="C60" s="658">
        <f>IF(D11="","-",+C59+1)</f>
        <v>2065</v>
      </c>
      <c r="D60" s="660">
        <f>IF(F59+SUM(E$17:E59)=D$10,F59,D$10-SUM(E$17:E59))</f>
        <v>0</v>
      </c>
      <c r="E60" s="69">
        <f t="shared" si="3"/>
        <v>0</v>
      </c>
      <c r="F60" s="660">
        <f t="shared" si="4"/>
        <v>0</v>
      </c>
      <c r="G60" s="666">
        <f t="shared" si="5"/>
        <v>0</v>
      </c>
      <c r="H60" s="661">
        <f t="shared" si="6"/>
        <v>0</v>
      </c>
      <c r="I60" s="662">
        <f t="shared" si="7"/>
        <v>0</v>
      </c>
      <c r="J60" s="662"/>
      <c r="K60" s="132"/>
      <c r="L60" s="665">
        <f t="shared" si="0"/>
        <v>0</v>
      </c>
      <c r="M60" s="132"/>
      <c r="N60" s="665">
        <f t="shared" si="1"/>
        <v>0</v>
      </c>
      <c r="O60" s="665">
        <f t="shared" si="2"/>
        <v>0</v>
      </c>
      <c r="P60" s="631"/>
    </row>
    <row r="61" spans="2:16">
      <c r="B61" s="9" t="str">
        <f t="shared" si="8"/>
        <v/>
      </c>
      <c r="C61" s="658">
        <f>IF(D11="","-",+C60+1)</f>
        <v>2066</v>
      </c>
      <c r="D61" s="660">
        <f>IF(F60+SUM(E$17:E60)=D$10,F60,D$10-SUM(E$17:E60))</f>
        <v>0</v>
      </c>
      <c r="E61" s="69">
        <f t="shared" si="3"/>
        <v>0</v>
      </c>
      <c r="F61" s="660">
        <f t="shared" si="4"/>
        <v>0</v>
      </c>
      <c r="G61" s="666">
        <f t="shared" si="5"/>
        <v>0</v>
      </c>
      <c r="H61" s="661">
        <f t="shared" si="6"/>
        <v>0</v>
      </c>
      <c r="I61" s="662">
        <f t="shared" si="7"/>
        <v>0</v>
      </c>
      <c r="J61" s="662"/>
      <c r="K61" s="132"/>
      <c r="L61" s="665">
        <f t="shared" si="0"/>
        <v>0</v>
      </c>
      <c r="M61" s="132"/>
      <c r="N61" s="665">
        <f t="shared" si="1"/>
        <v>0</v>
      </c>
      <c r="O61" s="665">
        <f t="shared" si="2"/>
        <v>0</v>
      </c>
      <c r="P61" s="631"/>
    </row>
    <row r="62" spans="2:16">
      <c r="B62" s="9" t="str">
        <f t="shared" si="8"/>
        <v/>
      </c>
      <c r="C62" s="658">
        <f>IF(D11="","-",+C61+1)</f>
        <v>2067</v>
      </c>
      <c r="D62" s="660">
        <f>IF(F61+SUM(E$17:E61)=D$10,F61,D$10-SUM(E$17:E61))</f>
        <v>0</v>
      </c>
      <c r="E62" s="69">
        <f t="shared" si="3"/>
        <v>0</v>
      </c>
      <c r="F62" s="660">
        <f t="shared" si="4"/>
        <v>0</v>
      </c>
      <c r="G62" s="666">
        <f t="shared" si="5"/>
        <v>0</v>
      </c>
      <c r="H62" s="661">
        <f t="shared" si="6"/>
        <v>0</v>
      </c>
      <c r="I62" s="662">
        <f t="shared" si="7"/>
        <v>0</v>
      </c>
      <c r="J62" s="662"/>
      <c r="K62" s="132"/>
      <c r="L62" s="665">
        <f t="shared" si="0"/>
        <v>0</v>
      </c>
      <c r="M62" s="132"/>
      <c r="N62" s="665">
        <f t="shared" si="1"/>
        <v>0</v>
      </c>
      <c r="O62" s="665">
        <f t="shared" si="2"/>
        <v>0</v>
      </c>
      <c r="P62" s="631"/>
    </row>
    <row r="63" spans="2:16">
      <c r="B63" s="9" t="str">
        <f t="shared" si="8"/>
        <v/>
      </c>
      <c r="C63" s="658">
        <f>IF(D11="","-",+C62+1)</f>
        <v>2068</v>
      </c>
      <c r="D63" s="660">
        <f>IF(F62+SUM(E$17:E62)=D$10,F62,D$10-SUM(E$17:E62))</f>
        <v>0</v>
      </c>
      <c r="E63" s="69">
        <f t="shared" si="3"/>
        <v>0</v>
      </c>
      <c r="F63" s="660">
        <f t="shared" si="4"/>
        <v>0</v>
      </c>
      <c r="G63" s="666">
        <f t="shared" si="5"/>
        <v>0</v>
      </c>
      <c r="H63" s="661">
        <f t="shared" si="6"/>
        <v>0</v>
      </c>
      <c r="I63" s="662">
        <f t="shared" si="7"/>
        <v>0</v>
      </c>
      <c r="J63" s="662"/>
      <c r="K63" s="132"/>
      <c r="L63" s="665">
        <f t="shared" si="0"/>
        <v>0</v>
      </c>
      <c r="M63" s="132"/>
      <c r="N63" s="665">
        <f t="shared" si="1"/>
        <v>0</v>
      </c>
      <c r="O63" s="665">
        <f t="shared" si="2"/>
        <v>0</v>
      </c>
      <c r="P63" s="631"/>
    </row>
    <row r="64" spans="2:16">
      <c r="B64" s="9" t="str">
        <f t="shared" si="8"/>
        <v/>
      </c>
      <c r="C64" s="658">
        <f>IF(D11="","-",+C63+1)</f>
        <v>2069</v>
      </c>
      <c r="D64" s="660">
        <f>IF(F63+SUM(E$17:E63)=D$10,F63,D$10-SUM(E$17:E63))</f>
        <v>0</v>
      </c>
      <c r="E64" s="69">
        <f t="shared" si="3"/>
        <v>0</v>
      </c>
      <c r="F64" s="660">
        <f t="shared" si="4"/>
        <v>0</v>
      </c>
      <c r="G64" s="666">
        <f t="shared" si="5"/>
        <v>0</v>
      </c>
      <c r="H64" s="661">
        <f t="shared" si="6"/>
        <v>0</v>
      </c>
      <c r="I64" s="662">
        <f t="shared" si="7"/>
        <v>0</v>
      </c>
      <c r="J64" s="662"/>
      <c r="K64" s="132"/>
      <c r="L64" s="665">
        <f t="shared" si="0"/>
        <v>0</v>
      </c>
      <c r="M64" s="132"/>
      <c r="N64" s="665">
        <f t="shared" si="1"/>
        <v>0</v>
      </c>
      <c r="O64" s="665">
        <f t="shared" si="2"/>
        <v>0</v>
      </c>
      <c r="P64" s="631"/>
    </row>
    <row r="65" spans="2:16">
      <c r="B65" s="9" t="str">
        <f t="shared" si="8"/>
        <v/>
      </c>
      <c r="C65" s="658">
        <f>IF(D11="","-",+C64+1)</f>
        <v>2070</v>
      </c>
      <c r="D65" s="660">
        <f>IF(F64+SUM(E$17:E64)=D$10,F64,D$10-SUM(E$17:E64))</f>
        <v>0</v>
      </c>
      <c r="E65" s="69">
        <f t="shared" si="3"/>
        <v>0</v>
      </c>
      <c r="F65" s="660">
        <f t="shared" si="4"/>
        <v>0</v>
      </c>
      <c r="G65" s="666">
        <f t="shared" si="5"/>
        <v>0</v>
      </c>
      <c r="H65" s="661">
        <f t="shared" si="6"/>
        <v>0</v>
      </c>
      <c r="I65" s="662">
        <f t="shared" si="7"/>
        <v>0</v>
      </c>
      <c r="J65" s="662"/>
      <c r="K65" s="132"/>
      <c r="L65" s="665">
        <f t="shared" si="0"/>
        <v>0</v>
      </c>
      <c r="M65" s="132"/>
      <c r="N65" s="665">
        <f t="shared" si="1"/>
        <v>0</v>
      </c>
      <c r="O65" s="665">
        <f t="shared" si="2"/>
        <v>0</v>
      </c>
      <c r="P65" s="631"/>
    </row>
    <row r="66" spans="2:16">
      <c r="B66" s="9" t="str">
        <f t="shared" si="8"/>
        <v/>
      </c>
      <c r="C66" s="658">
        <f>IF(D11="","-",+C65+1)</f>
        <v>2071</v>
      </c>
      <c r="D66" s="660">
        <f>IF(F65+SUM(E$17:E65)=D$10,F65,D$10-SUM(E$17:E65))</f>
        <v>0</v>
      </c>
      <c r="E66" s="69">
        <f t="shared" si="3"/>
        <v>0</v>
      </c>
      <c r="F66" s="660">
        <f t="shared" si="4"/>
        <v>0</v>
      </c>
      <c r="G66" s="666">
        <f t="shared" si="5"/>
        <v>0</v>
      </c>
      <c r="H66" s="661">
        <f t="shared" si="6"/>
        <v>0</v>
      </c>
      <c r="I66" s="662">
        <f t="shared" si="7"/>
        <v>0</v>
      </c>
      <c r="J66" s="662"/>
      <c r="K66" s="132"/>
      <c r="L66" s="665">
        <f t="shared" si="0"/>
        <v>0</v>
      </c>
      <c r="M66" s="132"/>
      <c r="N66" s="665">
        <f t="shared" si="1"/>
        <v>0</v>
      </c>
      <c r="O66" s="665">
        <f t="shared" si="2"/>
        <v>0</v>
      </c>
      <c r="P66" s="631"/>
    </row>
    <row r="67" spans="2:16">
      <c r="B67" s="9" t="str">
        <f t="shared" si="8"/>
        <v/>
      </c>
      <c r="C67" s="658">
        <f>IF(D11="","-",+C66+1)</f>
        <v>2072</v>
      </c>
      <c r="D67" s="660">
        <f>IF(F66+SUM(E$17:E66)=D$10,F66,D$10-SUM(E$17:E66))</f>
        <v>0</v>
      </c>
      <c r="E67" s="69">
        <f t="shared" si="3"/>
        <v>0</v>
      </c>
      <c r="F67" s="660">
        <f t="shared" si="4"/>
        <v>0</v>
      </c>
      <c r="G67" s="666">
        <f t="shared" si="5"/>
        <v>0</v>
      </c>
      <c r="H67" s="661">
        <f t="shared" si="6"/>
        <v>0</v>
      </c>
      <c r="I67" s="662">
        <f t="shared" si="7"/>
        <v>0</v>
      </c>
      <c r="J67" s="662"/>
      <c r="K67" s="132"/>
      <c r="L67" s="665">
        <f t="shared" si="0"/>
        <v>0</v>
      </c>
      <c r="M67" s="132"/>
      <c r="N67" s="665">
        <f t="shared" si="1"/>
        <v>0</v>
      </c>
      <c r="O67" s="665">
        <f t="shared" si="2"/>
        <v>0</v>
      </c>
      <c r="P67" s="631"/>
    </row>
    <row r="68" spans="2:16">
      <c r="B68" s="9" t="str">
        <f t="shared" si="8"/>
        <v/>
      </c>
      <c r="C68" s="658">
        <f>IF(D11="","-",+C67+1)</f>
        <v>2073</v>
      </c>
      <c r="D68" s="660">
        <f>IF(F67+SUM(E$17:E67)=D$10,F67,D$10-SUM(E$17:E67))</f>
        <v>0</v>
      </c>
      <c r="E68" s="69">
        <f t="shared" si="3"/>
        <v>0</v>
      </c>
      <c r="F68" s="660">
        <f t="shared" si="4"/>
        <v>0</v>
      </c>
      <c r="G68" s="666">
        <f t="shared" si="5"/>
        <v>0</v>
      </c>
      <c r="H68" s="661">
        <f t="shared" si="6"/>
        <v>0</v>
      </c>
      <c r="I68" s="662">
        <f t="shared" si="7"/>
        <v>0</v>
      </c>
      <c r="J68" s="662"/>
      <c r="K68" s="132"/>
      <c r="L68" s="665">
        <f t="shared" si="0"/>
        <v>0</v>
      </c>
      <c r="M68" s="132"/>
      <c r="N68" s="665">
        <f t="shared" si="1"/>
        <v>0</v>
      </c>
      <c r="O68" s="665">
        <f t="shared" si="2"/>
        <v>0</v>
      </c>
      <c r="P68" s="631"/>
    </row>
    <row r="69" spans="2:16">
      <c r="B69" s="9" t="str">
        <f t="shared" si="8"/>
        <v/>
      </c>
      <c r="C69" s="658">
        <f>IF(D11="","-",+C68+1)</f>
        <v>2074</v>
      </c>
      <c r="D69" s="660">
        <f>IF(F68+SUM(E$17:E68)=D$10,F68,D$10-SUM(E$17:E68))</f>
        <v>0</v>
      </c>
      <c r="E69" s="69">
        <f t="shared" si="3"/>
        <v>0</v>
      </c>
      <c r="F69" s="660">
        <f t="shared" si="4"/>
        <v>0</v>
      </c>
      <c r="G69" s="666">
        <f t="shared" si="5"/>
        <v>0</v>
      </c>
      <c r="H69" s="661">
        <f t="shared" si="6"/>
        <v>0</v>
      </c>
      <c r="I69" s="662">
        <f t="shared" si="7"/>
        <v>0</v>
      </c>
      <c r="J69" s="662"/>
      <c r="K69" s="132"/>
      <c r="L69" s="665">
        <f t="shared" si="0"/>
        <v>0</v>
      </c>
      <c r="M69" s="132"/>
      <c r="N69" s="665">
        <f t="shared" si="1"/>
        <v>0</v>
      </c>
      <c r="O69" s="665">
        <f t="shared" si="2"/>
        <v>0</v>
      </c>
      <c r="P69" s="631"/>
    </row>
    <row r="70" spans="2:16">
      <c r="B70" s="9" t="str">
        <f t="shared" si="8"/>
        <v/>
      </c>
      <c r="C70" s="658">
        <f>IF(D11="","-",+C69+1)</f>
        <v>2075</v>
      </c>
      <c r="D70" s="660">
        <f>IF(F69+SUM(E$17:E69)=D$10,F69,D$10-SUM(E$17:E69))</f>
        <v>0</v>
      </c>
      <c r="E70" s="69">
        <f t="shared" si="3"/>
        <v>0</v>
      </c>
      <c r="F70" s="660">
        <f t="shared" si="4"/>
        <v>0</v>
      </c>
      <c r="G70" s="666">
        <f t="shared" si="5"/>
        <v>0</v>
      </c>
      <c r="H70" s="661">
        <f t="shared" si="6"/>
        <v>0</v>
      </c>
      <c r="I70" s="662">
        <f t="shared" si="7"/>
        <v>0</v>
      </c>
      <c r="J70" s="662"/>
      <c r="K70" s="132"/>
      <c r="L70" s="665">
        <f t="shared" si="0"/>
        <v>0</v>
      </c>
      <c r="M70" s="132"/>
      <c r="N70" s="665">
        <f t="shared" si="1"/>
        <v>0</v>
      </c>
      <c r="O70" s="665">
        <f t="shared" si="2"/>
        <v>0</v>
      </c>
      <c r="P70" s="631"/>
    </row>
    <row r="71" spans="2:16">
      <c r="B71" s="9" t="str">
        <f t="shared" si="8"/>
        <v/>
      </c>
      <c r="C71" s="658">
        <f>IF(D11="","-",+C70+1)</f>
        <v>2076</v>
      </c>
      <c r="D71" s="660">
        <f>IF(F70+SUM(E$17:E70)=D$10,F70,D$10-SUM(E$17:E70))</f>
        <v>0</v>
      </c>
      <c r="E71" s="69">
        <f t="shared" si="3"/>
        <v>0</v>
      </c>
      <c r="F71" s="660">
        <f t="shared" si="4"/>
        <v>0</v>
      </c>
      <c r="G71" s="666">
        <f t="shared" si="5"/>
        <v>0</v>
      </c>
      <c r="H71" s="661">
        <f t="shared" si="6"/>
        <v>0</v>
      </c>
      <c r="I71" s="662">
        <f t="shared" si="7"/>
        <v>0</v>
      </c>
      <c r="J71" s="662"/>
      <c r="K71" s="132"/>
      <c r="L71" s="665">
        <f t="shared" si="0"/>
        <v>0</v>
      </c>
      <c r="M71" s="132"/>
      <c r="N71" s="665">
        <f t="shared" si="1"/>
        <v>0</v>
      </c>
      <c r="O71" s="665">
        <f t="shared" si="2"/>
        <v>0</v>
      </c>
      <c r="P71" s="631"/>
    </row>
    <row r="72" spans="2:16" ht="13" thickBot="1">
      <c r="B72" s="9" t="str">
        <f t="shared" si="8"/>
        <v/>
      </c>
      <c r="C72" s="667">
        <f>IF(D11="","-",+C71+1)</f>
        <v>2077</v>
      </c>
      <c r="D72" s="668">
        <f>IF(F71+SUM(E$17:E71)=D$10,F71,D$10-SUM(E$17:E71))</f>
        <v>0</v>
      </c>
      <c r="E72" s="489">
        <f>IF(+I$14&lt;F71,I$14,D72)</f>
        <v>0</v>
      </c>
      <c r="F72" s="668">
        <f>+D72-E72</f>
        <v>0</v>
      </c>
      <c r="G72" s="669">
        <f>(D72+F72)/2*I$12+E72</f>
        <v>0</v>
      </c>
      <c r="H72" s="643">
        <f>+(D72+F72)/2*I$13+E72</f>
        <v>0</v>
      </c>
      <c r="I72" s="670">
        <f>H72-G72</f>
        <v>0</v>
      </c>
      <c r="J72" s="662"/>
      <c r="K72" s="133"/>
      <c r="L72" s="671">
        <f t="shared" si="0"/>
        <v>0</v>
      </c>
      <c r="M72" s="133"/>
      <c r="N72" s="671">
        <f t="shared" si="1"/>
        <v>0</v>
      </c>
      <c r="O72" s="671">
        <f t="shared" si="2"/>
        <v>0</v>
      </c>
      <c r="P72" s="631"/>
    </row>
    <row r="73" spans="2:16">
      <c r="C73" s="659" t="s">
        <v>77</v>
      </c>
      <c r="D73" s="638"/>
      <c r="E73" s="638">
        <f>SUM(E17:E72)</f>
        <v>37862.590000000011</v>
      </c>
      <c r="F73" s="638"/>
      <c r="G73" s="638">
        <f>SUM(G17:G72)</f>
        <v>134038.20214155561</v>
      </c>
      <c r="H73" s="638">
        <f>SUM(H17:H72)</f>
        <v>134038.20214155561</v>
      </c>
      <c r="I73" s="638">
        <f>SUM(I17:I72)</f>
        <v>0</v>
      </c>
      <c r="J73" s="638"/>
      <c r="K73" s="638"/>
      <c r="L73" s="638"/>
      <c r="M73" s="638"/>
      <c r="N73" s="638"/>
      <c r="O73" s="631"/>
      <c r="P73" s="631"/>
    </row>
    <row r="74" spans="2:16">
      <c r="D74" s="632"/>
      <c r="E74" s="631"/>
      <c r="F74" s="631"/>
      <c r="G74" s="631"/>
      <c r="H74" s="634"/>
      <c r="I74" s="634"/>
      <c r="J74" s="638"/>
      <c r="K74" s="634"/>
      <c r="L74" s="634"/>
      <c r="M74" s="634"/>
      <c r="N74" s="634"/>
      <c r="O74" s="631"/>
      <c r="P74" s="631"/>
    </row>
    <row r="75" spans="2:16" ht="13">
      <c r="C75" s="644" t="s">
        <v>106</v>
      </c>
      <c r="D75" s="632"/>
      <c r="E75" s="631"/>
      <c r="F75" s="631"/>
      <c r="G75" s="631"/>
      <c r="H75" s="634"/>
      <c r="I75" s="634"/>
      <c r="J75" s="638"/>
      <c r="K75" s="634"/>
      <c r="L75" s="634"/>
      <c r="M75" s="634"/>
      <c r="N75" s="634"/>
      <c r="O75" s="631"/>
      <c r="P75" s="631"/>
    </row>
    <row r="76" spans="2:16" ht="13">
      <c r="C76" s="641" t="s">
        <v>78</v>
      </c>
      <c r="D76" s="632"/>
      <c r="E76" s="631"/>
      <c r="F76" s="631"/>
      <c r="G76" s="631"/>
      <c r="H76" s="634"/>
      <c r="I76" s="634"/>
      <c r="J76" s="638"/>
      <c r="K76" s="634"/>
      <c r="L76" s="634"/>
      <c r="M76" s="634"/>
      <c r="N76" s="634"/>
      <c r="O76" s="631"/>
      <c r="P76" s="631"/>
    </row>
    <row r="77" spans="2:16" ht="13">
      <c r="C77" s="641" t="s">
        <v>79</v>
      </c>
      <c r="D77" s="659"/>
      <c r="E77" s="659"/>
      <c r="F77" s="659"/>
      <c r="G77" s="638"/>
      <c r="H77" s="638"/>
      <c r="I77" s="672"/>
      <c r="J77" s="672"/>
      <c r="K77" s="672"/>
      <c r="L77" s="672"/>
      <c r="M77" s="672"/>
      <c r="N77" s="672"/>
      <c r="O77" s="631"/>
      <c r="P77" s="631"/>
    </row>
    <row r="78" spans="2:16" ht="13">
      <c r="C78" s="641"/>
      <c r="D78" s="659"/>
      <c r="E78" s="659"/>
      <c r="F78" s="659"/>
      <c r="G78" s="638"/>
      <c r="H78" s="638"/>
      <c r="I78" s="672"/>
      <c r="J78" s="672"/>
      <c r="K78" s="672"/>
      <c r="L78" s="672"/>
      <c r="M78" s="672"/>
      <c r="N78" s="672"/>
      <c r="O78" s="631"/>
      <c r="P78" s="631"/>
    </row>
    <row r="79" spans="2:16">
      <c r="B79" s="631"/>
      <c r="C79" s="631"/>
      <c r="D79" s="632"/>
      <c r="E79" s="631"/>
      <c r="F79" s="659"/>
      <c r="G79" s="631"/>
      <c r="H79" s="634"/>
      <c r="I79" s="631"/>
      <c r="J79" s="631"/>
      <c r="K79" s="631"/>
      <c r="L79" s="631"/>
      <c r="M79" s="631"/>
      <c r="N79" s="631"/>
      <c r="O79" s="631"/>
      <c r="P79" s="631"/>
    </row>
    <row r="80" spans="2:16" ht="17.5">
      <c r="B80" s="631"/>
      <c r="C80" s="673"/>
      <c r="D80" s="632"/>
      <c r="E80" s="631"/>
      <c r="F80" s="659"/>
      <c r="G80" s="631"/>
      <c r="H80" s="634"/>
      <c r="I80" s="631"/>
      <c r="J80" s="631"/>
      <c r="K80" s="631"/>
      <c r="L80" s="631"/>
      <c r="M80" s="631"/>
      <c r="N80" s="631"/>
      <c r="P80" s="111" t="s">
        <v>144</v>
      </c>
    </row>
    <row r="81" spans="1:16">
      <c r="B81" s="631"/>
      <c r="C81" s="631"/>
      <c r="D81" s="632"/>
      <c r="E81" s="631"/>
      <c r="F81" s="659"/>
      <c r="G81" s="631"/>
      <c r="H81" s="634"/>
      <c r="I81" s="631"/>
      <c r="J81" s="631"/>
      <c r="K81" s="631"/>
      <c r="L81" s="631"/>
      <c r="M81" s="631"/>
      <c r="N81" s="631"/>
      <c r="O81" s="631"/>
      <c r="P81" s="631"/>
    </row>
    <row r="82" spans="1:16">
      <c r="B82" s="631"/>
      <c r="C82" s="631"/>
      <c r="D82" s="632"/>
      <c r="E82" s="631"/>
      <c r="F82" s="659"/>
      <c r="G82" s="631"/>
      <c r="H82" s="634"/>
      <c r="I82" s="631"/>
      <c r="J82" s="631"/>
      <c r="K82" s="631"/>
      <c r="L82" s="631"/>
      <c r="M82" s="631"/>
      <c r="N82" s="631"/>
      <c r="O82" s="631"/>
      <c r="P82" s="631"/>
    </row>
    <row r="83" spans="1:16" ht="20">
      <c r="A83" s="110" t="s">
        <v>146</v>
      </c>
      <c r="B83" s="631"/>
      <c r="C83" s="631"/>
      <c r="D83" s="632"/>
      <c r="E83" s="631"/>
      <c r="F83" s="633"/>
      <c r="G83" s="633"/>
      <c r="H83" s="631"/>
      <c r="I83" s="634"/>
      <c r="L83" s="19"/>
      <c r="M83" s="19"/>
      <c r="P83" s="19" t="str">
        <f>P1</f>
        <v>PSO Project 29 of 31</v>
      </c>
    </row>
    <row r="84" spans="1:16" ht="17.5">
      <c r="B84" s="631"/>
      <c r="C84" s="631"/>
      <c r="D84" s="632"/>
      <c r="E84" s="631"/>
      <c r="F84" s="631"/>
      <c r="G84" s="631"/>
      <c r="H84" s="631"/>
      <c r="I84" s="634"/>
      <c r="J84" s="631"/>
      <c r="K84" s="631"/>
      <c r="L84" s="631"/>
      <c r="M84" s="631"/>
      <c r="P84" s="117" t="s">
        <v>151</v>
      </c>
    </row>
    <row r="85" spans="1:16" ht="17.5" thickBot="1">
      <c r="B85" s="636" t="s">
        <v>42</v>
      </c>
      <c r="C85" s="674" t="s">
        <v>91</v>
      </c>
      <c r="D85" s="632"/>
      <c r="E85" s="631"/>
      <c r="F85" s="631"/>
      <c r="G85" s="631"/>
      <c r="H85" s="631"/>
      <c r="I85" s="634"/>
      <c r="J85" s="634"/>
      <c r="K85" s="638"/>
      <c r="L85" s="634"/>
      <c r="M85" s="634"/>
      <c r="N85" s="634"/>
      <c r="O85" s="638"/>
      <c r="P85" s="631"/>
    </row>
    <row r="86" spans="1:16" ht="16" thickBot="1">
      <c r="C86" s="639"/>
      <c r="D86" s="632"/>
      <c r="E86" s="631"/>
      <c r="F86" s="631"/>
      <c r="G86" s="631"/>
      <c r="H86" s="631"/>
      <c r="I86" s="634"/>
      <c r="J86" s="634"/>
      <c r="K86" s="638"/>
      <c r="L86" s="675">
        <f>+J92</f>
        <v>2023</v>
      </c>
      <c r="M86" s="676" t="s">
        <v>8</v>
      </c>
      <c r="N86" s="677" t="s">
        <v>153</v>
      </c>
      <c r="O86" s="678" t="s">
        <v>10</v>
      </c>
      <c r="P86" s="631"/>
    </row>
    <row r="87" spans="1:16" ht="15.5">
      <c r="C87" s="107" t="s">
        <v>44</v>
      </c>
      <c r="D87" s="632"/>
      <c r="E87" s="631"/>
      <c r="F87" s="631"/>
      <c r="G87" s="631"/>
      <c r="H87" s="419"/>
      <c r="I87" s="631" t="s">
        <v>45</v>
      </c>
      <c r="J87" s="631"/>
      <c r="K87" s="122"/>
      <c r="L87" s="679" t="s">
        <v>154</v>
      </c>
      <c r="M87" s="506">
        <f>IF(J92&lt;D11,0,VLOOKUP(J92,C17:O72,9))</f>
        <v>0</v>
      </c>
      <c r="N87" s="506">
        <f>IF(J92&lt;D11,0,VLOOKUP(J92,C17:O72,11))</f>
        <v>0</v>
      </c>
      <c r="O87" s="680">
        <f>+N87-M87</f>
        <v>0</v>
      </c>
      <c r="P87" s="631"/>
    </row>
    <row r="88" spans="1:16" ht="15.5">
      <c r="C88" s="8"/>
      <c r="D88" s="632"/>
      <c r="E88" s="631"/>
      <c r="F88" s="631"/>
      <c r="G88" s="631"/>
      <c r="H88" s="631"/>
      <c r="I88" s="424"/>
      <c r="J88" s="424"/>
      <c r="K88" s="508"/>
      <c r="L88" s="681" t="s">
        <v>155</v>
      </c>
      <c r="M88" s="510">
        <f>IF(J92&lt;D11,0,VLOOKUP(J92,C99:P154,6))</f>
        <v>4934.444031153027</v>
      </c>
      <c r="N88" s="510">
        <f>IF(J92&lt;D11,0,VLOOKUP(J92,C99:P154,7))</f>
        <v>4934.444031153027</v>
      </c>
      <c r="O88" s="682">
        <f>+N88-M88</f>
        <v>0</v>
      </c>
      <c r="P88" s="631"/>
    </row>
    <row r="89" spans="1:16" ht="13.5" thickBot="1">
      <c r="C89" s="641" t="s">
        <v>92</v>
      </c>
      <c r="D89" s="113"/>
      <c r="E89" s="631"/>
      <c r="F89" s="631"/>
      <c r="G89" s="631"/>
      <c r="H89" s="631"/>
      <c r="I89" s="634"/>
      <c r="J89" s="634"/>
      <c r="K89" s="513"/>
      <c r="L89" s="683" t="s">
        <v>156</v>
      </c>
      <c r="M89" s="515">
        <f>+M88-M87</f>
        <v>4934.444031153027</v>
      </c>
      <c r="N89" s="515">
        <f>+N88-N87</f>
        <v>4934.444031153027</v>
      </c>
      <c r="O89" s="516">
        <f>+O88-O87</f>
        <v>0</v>
      </c>
      <c r="P89" s="631"/>
    </row>
    <row r="90" spans="1:16" ht="13.5" thickBot="1">
      <c r="C90" s="644"/>
      <c r="D90" s="79">
        <f>D8</f>
        <v>0</v>
      </c>
      <c r="E90" s="659"/>
      <c r="F90" s="659"/>
      <c r="G90" s="659"/>
      <c r="H90" s="645"/>
      <c r="I90" s="634"/>
      <c r="J90" s="634"/>
      <c r="K90" s="638"/>
      <c r="L90" s="634"/>
      <c r="M90" s="634"/>
      <c r="N90" s="634"/>
      <c r="O90" s="638"/>
      <c r="P90" s="631"/>
    </row>
    <row r="91" spans="1:16" ht="13.5" thickBot="1">
      <c r="C91" s="684" t="s">
        <v>93</v>
      </c>
      <c r="D91" s="685"/>
      <c r="E91" s="686"/>
      <c r="F91" s="686"/>
      <c r="G91" s="686"/>
      <c r="H91" s="686"/>
      <c r="I91" s="686"/>
      <c r="J91" s="686"/>
    </row>
    <row r="92" spans="1:16" ht="13">
      <c r="C92" s="651" t="s">
        <v>226</v>
      </c>
      <c r="D92" s="687">
        <f>D10</f>
        <v>37862.589999999997</v>
      </c>
      <c r="E92" s="631" t="s">
        <v>94</v>
      </c>
      <c r="H92" s="632"/>
      <c r="I92" s="632"/>
      <c r="J92" s="447">
        <f>+'PSO.WS.G.BPU.ATRR.True-up'!M16</f>
        <v>2023</v>
      </c>
      <c r="K92" s="650"/>
      <c r="L92" s="638" t="s">
        <v>95</v>
      </c>
      <c r="P92" s="631"/>
    </row>
    <row r="93" spans="1:16">
      <c r="C93" s="653" t="s">
        <v>53</v>
      </c>
      <c r="D93" s="688">
        <f>+D11</f>
        <v>2022</v>
      </c>
      <c r="E93" s="653" t="s">
        <v>54</v>
      </c>
      <c r="F93" s="632"/>
      <c r="G93" s="632"/>
      <c r="J93" s="654">
        <v>0</v>
      </c>
      <c r="K93" s="655"/>
      <c r="L93" t="str">
        <f>"          INPUT TRUE-UP ARR (WITH &amp; WITHOUT INCENTIVES) FROM EACH PRIOR YEAR"</f>
        <v xml:space="preserve">          INPUT TRUE-UP ARR (WITH &amp; WITHOUT INCENTIVES) FROM EACH PRIOR YEAR</v>
      </c>
      <c r="P93" s="631"/>
    </row>
    <row r="94" spans="1:16">
      <c r="C94" s="653" t="s">
        <v>55</v>
      </c>
      <c r="D94" s="688">
        <f>+D12</f>
        <v>6</v>
      </c>
      <c r="E94" s="653" t="s">
        <v>56</v>
      </c>
      <c r="F94" s="632"/>
      <c r="G94" s="632"/>
      <c r="J94" s="656">
        <v>0.10781124580725182</v>
      </c>
      <c r="K94" s="633"/>
      <c r="L94" t="s">
        <v>96</v>
      </c>
      <c r="P94" s="631"/>
    </row>
    <row r="95" spans="1:16">
      <c r="C95" s="653" t="s">
        <v>58</v>
      </c>
      <c r="D95" s="654">
        <v>42</v>
      </c>
      <c r="E95" s="653" t="s">
        <v>59</v>
      </c>
      <c r="F95" s="632"/>
      <c r="G95" s="632"/>
      <c r="J95" s="656">
        <v>0.10781124580725182</v>
      </c>
      <c r="K95" s="633"/>
      <c r="L95" s="638" t="s">
        <v>60</v>
      </c>
      <c r="M95" s="633"/>
      <c r="N95" s="633"/>
      <c r="O95" s="633"/>
      <c r="P95" s="631"/>
    </row>
    <row r="96" spans="1:16" ht="13" thickBot="1">
      <c r="C96" s="653" t="s">
        <v>61</v>
      </c>
      <c r="D96" s="689" t="str">
        <f>+D14</f>
        <v>No</v>
      </c>
      <c r="E96" s="690" t="s">
        <v>63</v>
      </c>
      <c r="F96" s="691"/>
      <c r="G96" s="691"/>
      <c r="H96" s="92"/>
      <c r="I96" s="92"/>
      <c r="J96" s="643">
        <f>IF(D92=0,0,ROUND(D92/D95,0))</f>
        <v>901</v>
      </c>
      <c r="K96" s="638"/>
      <c r="L96" s="638"/>
      <c r="M96" s="638"/>
      <c r="N96" s="638"/>
      <c r="O96" s="638"/>
      <c r="P96" s="631"/>
    </row>
    <row r="97" spans="1:16" ht="39">
      <c r="A97" s="6"/>
      <c r="B97" s="6"/>
      <c r="C97" s="93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93" t="s">
        <v>98</v>
      </c>
      <c r="K97" s="95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534" t="s">
        <v>73</v>
      </c>
      <c r="I98" s="464" t="s">
        <v>74</v>
      </c>
      <c r="J98" s="57" t="s">
        <v>104</v>
      </c>
      <c r="K98" s="55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658">
        <f>IF(D93= "","-",D93)</f>
        <v>2022</v>
      </c>
      <c r="D99" s="132">
        <v>0</v>
      </c>
      <c r="E99" s="132">
        <v>0</v>
      </c>
      <c r="F99" s="132">
        <v>31450.100000000006</v>
      </c>
      <c r="G99" s="132">
        <v>15725.050000000003</v>
      </c>
      <c r="H99" s="132">
        <v>1695.3372308813255</v>
      </c>
      <c r="I99" s="132">
        <v>1695.3372308813255</v>
      </c>
      <c r="J99" s="665">
        <f>+I99-H99</f>
        <v>0</v>
      </c>
      <c r="K99" s="665"/>
      <c r="L99" s="664">
        <f>+H99</f>
        <v>1695.3372308813255</v>
      </c>
      <c r="M99" s="664">
        <f t="shared" ref="M99:M130" si="9">IF(L99&lt;&gt;0,+H99-L99,0)</f>
        <v>0</v>
      </c>
      <c r="N99" s="664">
        <f>+I99</f>
        <v>1695.3372308813255</v>
      </c>
      <c r="O99" s="664">
        <f t="shared" ref="O99:O130" si="10">IF(N99&lt;&gt;0,+I99-N99,0)</f>
        <v>0</v>
      </c>
      <c r="P99" s="664">
        <f t="shared" ref="P99:P130" si="11">+O99-M99</f>
        <v>0</v>
      </c>
    </row>
    <row r="100" spans="1:16">
      <c r="B100" s="9" t="str">
        <f>IF(D100=F99,"","IU")</f>
        <v>IU</v>
      </c>
      <c r="C100" s="658">
        <f>IF(D93="","-",+C99+1)</f>
        <v>2023</v>
      </c>
      <c r="D100" s="659">
        <f>IF(F99+SUM(E$99:E99)=D$92,F99,D$92-SUM(E$99:E99))</f>
        <v>37862.589999999997</v>
      </c>
      <c r="E100" s="482">
        <f>IF(+J$96&lt;F99,J$96,D100)</f>
        <v>901</v>
      </c>
      <c r="F100" s="660">
        <f>+D100-E100</f>
        <v>36961.589999999997</v>
      </c>
      <c r="G100" s="660">
        <f>+(F100+D100)/2</f>
        <v>37412.089999999997</v>
      </c>
      <c r="H100" s="696">
        <f t="shared" ref="H100:H154" si="12">+J$94*G100+E100</f>
        <v>4934.444031153027</v>
      </c>
      <c r="I100" s="697">
        <f t="shared" ref="I100:I154" si="13">+J$95*G100+E100</f>
        <v>4934.444031153027</v>
      </c>
      <c r="J100" s="665">
        <f t="shared" ref="J100:J130" si="14">+I100-H100</f>
        <v>0</v>
      </c>
      <c r="K100" s="665"/>
      <c r="L100" s="132"/>
      <c r="M100" s="665">
        <f t="shared" si="9"/>
        <v>0</v>
      </c>
      <c r="N100" s="132"/>
      <c r="O100" s="665">
        <f t="shared" si="10"/>
        <v>0</v>
      </c>
      <c r="P100" s="665">
        <f t="shared" si="11"/>
        <v>0</v>
      </c>
    </row>
    <row r="101" spans="1:16">
      <c r="B101" s="9" t="str">
        <f t="shared" ref="B101:B154" si="15">IF(D101=F100,"","IU")</f>
        <v/>
      </c>
      <c r="C101" s="658">
        <f>IF(D93="","-",+C100+1)</f>
        <v>2024</v>
      </c>
      <c r="D101" s="659">
        <f>IF(F100+SUM(E$99:E100)=D$92,F100,D$92-SUM(E$99:E100))</f>
        <v>36961.589999999997</v>
      </c>
      <c r="E101" s="482">
        <f t="shared" ref="E101:E154" si="16">IF(+J$96&lt;F100,J$96,D101)</f>
        <v>901</v>
      </c>
      <c r="F101" s="660">
        <f t="shared" ref="F101:F154" si="17">+D101-E101</f>
        <v>36060.589999999997</v>
      </c>
      <c r="G101" s="660">
        <f t="shared" ref="G101:G154" si="18">+(F101+D101)/2</f>
        <v>36511.089999999997</v>
      </c>
      <c r="H101" s="696">
        <f t="shared" si="12"/>
        <v>4837.306098680694</v>
      </c>
      <c r="I101" s="697">
        <f t="shared" si="13"/>
        <v>4837.306098680694</v>
      </c>
      <c r="J101" s="665">
        <f t="shared" si="14"/>
        <v>0</v>
      </c>
      <c r="K101" s="665"/>
      <c r="L101" s="132"/>
      <c r="M101" s="665">
        <f t="shared" si="9"/>
        <v>0</v>
      </c>
      <c r="N101" s="132"/>
      <c r="O101" s="665">
        <f t="shared" si="10"/>
        <v>0</v>
      </c>
      <c r="P101" s="665">
        <f t="shared" si="11"/>
        <v>0</v>
      </c>
    </row>
    <row r="102" spans="1:16">
      <c r="B102" s="9" t="str">
        <f t="shared" si="15"/>
        <v/>
      </c>
      <c r="C102" s="658">
        <f>IF(D93="","-",+C101+1)</f>
        <v>2025</v>
      </c>
      <c r="D102" s="659">
        <f>IF(F101+SUM(E$99:E101)=D$92,F101,D$92-SUM(E$99:E101))</f>
        <v>36060.589999999997</v>
      </c>
      <c r="E102" s="482">
        <f t="shared" si="16"/>
        <v>901</v>
      </c>
      <c r="F102" s="660">
        <f t="shared" si="17"/>
        <v>35159.589999999997</v>
      </c>
      <c r="G102" s="660">
        <f t="shared" si="18"/>
        <v>35610.089999999997</v>
      </c>
      <c r="H102" s="696">
        <f t="shared" si="12"/>
        <v>4740.1681662083593</v>
      </c>
      <c r="I102" s="697">
        <f t="shared" si="13"/>
        <v>4740.1681662083593</v>
      </c>
      <c r="J102" s="665">
        <f t="shared" si="14"/>
        <v>0</v>
      </c>
      <c r="K102" s="665"/>
      <c r="L102" s="132"/>
      <c r="M102" s="665">
        <f t="shared" si="9"/>
        <v>0</v>
      </c>
      <c r="N102" s="132"/>
      <c r="O102" s="665">
        <f t="shared" si="10"/>
        <v>0</v>
      </c>
      <c r="P102" s="665">
        <f t="shared" si="11"/>
        <v>0</v>
      </c>
    </row>
    <row r="103" spans="1:16">
      <c r="B103" s="9" t="str">
        <f t="shared" si="15"/>
        <v/>
      </c>
      <c r="C103" s="658">
        <f>IF(D93="","-",+C102+1)</f>
        <v>2026</v>
      </c>
      <c r="D103" s="659">
        <f>IF(F102+SUM(E$99:E102)=D$92,F102,D$92-SUM(E$99:E102))</f>
        <v>35159.589999999997</v>
      </c>
      <c r="E103" s="482">
        <f t="shared" si="16"/>
        <v>901</v>
      </c>
      <c r="F103" s="660">
        <f t="shared" si="17"/>
        <v>34258.589999999997</v>
      </c>
      <c r="G103" s="660">
        <f t="shared" si="18"/>
        <v>34709.089999999997</v>
      </c>
      <c r="H103" s="696">
        <f t="shared" si="12"/>
        <v>4643.0302337360263</v>
      </c>
      <c r="I103" s="697">
        <f t="shared" si="13"/>
        <v>4643.0302337360263</v>
      </c>
      <c r="J103" s="665">
        <f t="shared" si="14"/>
        <v>0</v>
      </c>
      <c r="K103" s="665"/>
      <c r="L103" s="132"/>
      <c r="M103" s="665">
        <f t="shared" si="9"/>
        <v>0</v>
      </c>
      <c r="N103" s="132"/>
      <c r="O103" s="665">
        <f t="shared" si="10"/>
        <v>0</v>
      </c>
      <c r="P103" s="665">
        <f t="shared" si="11"/>
        <v>0</v>
      </c>
    </row>
    <row r="104" spans="1:16">
      <c r="B104" s="9" t="str">
        <f t="shared" si="15"/>
        <v/>
      </c>
      <c r="C104" s="658">
        <f>IF(D93="","-",+C103+1)</f>
        <v>2027</v>
      </c>
      <c r="D104" s="659">
        <f>IF(F103+SUM(E$99:E103)=D$92,F103,D$92-SUM(E$99:E103))</f>
        <v>34258.589999999997</v>
      </c>
      <c r="E104" s="482">
        <f t="shared" si="16"/>
        <v>901</v>
      </c>
      <c r="F104" s="660">
        <f t="shared" si="17"/>
        <v>33357.589999999997</v>
      </c>
      <c r="G104" s="660">
        <f t="shared" si="18"/>
        <v>33808.089999999997</v>
      </c>
      <c r="H104" s="696">
        <f t="shared" si="12"/>
        <v>4545.8923012636915</v>
      </c>
      <c r="I104" s="697">
        <f t="shared" si="13"/>
        <v>4545.8923012636915</v>
      </c>
      <c r="J104" s="665">
        <f t="shared" si="14"/>
        <v>0</v>
      </c>
      <c r="K104" s="665"/>
      <c r="L104" s="132"/>
      <c r="M104" s="665">
        <f t="shared" si="9"/>
        <v>0</v>
      </c>
      <c r="N104" s="132"/>
      <c r="O104" s="665">
        <f t="shared" si="10"/>
        <v>0</v>
      </c>
      <c r="P104" s="665">
        <f t="shared" si="11"/>
        <v>0</v>
      </c>
    </row>
    <row r="105" spans="1:16">
      <c r="B105" s="9" t="str">
        <f t="shared" si="15"/>
        <v/>
      </c>
      <c r="C105" s="658">
        <f>IF(D93="","-",+C104+1)</f>
        <v>2028</v>
      </c>
      <c r="D105" s="659">
        <f>IF(F104+SUM(E$99:E104)=D$92,F104,D$92-SUM(E$99:E104))</f>
        <v>33357.589999999997</v>
      </c>
      <c r="E105" s="482">
        <f t="shared" si="16"/>
        <v>901</v>
      </c>
      <c r="F105" s="660">
        <f t="shared" si="17"/>
        <v>32456.589999999997</v>
      </c>
      <c r="G105" s="660">
        <f t="shared" si="18"/>
        <v>32907.089999999997</v>
      </c>
      <c r="H105" s="696">
        <f t="shared" si="12"/>
        <v>4448.7543687913585</v>
      </c>
      <c r="I105" s="697">
        <f t="shared" si="13"/>
        <v>4448.7543687913585</v>
      </c>
      <c r="J105" s="665">
        <f t="shared" si="14"/>
        <v>0</v>
      </c>
      <c r="K105" s="665"/>
      <c r="L105" s="132"/>
      <c r="M105" s="665">
        <f t="shared" si="9"/>
        <v>0</v>
      </c>
      <c r="N105" s="132"/>
      <c r="O105" s="665">
        <f t="shared" si="10"/>
        <v>0</v>
      </c>
      <c r="P105" s="665">
        <f t="shared" si="11"/>
        <v>0</v>
      </c>
    </row>
    <row r="106" spans="1:16">
      <c r="B106" s="9" t="str">
        <f t="shared" si="15"/>
        <v/>
      </c>
      <c r="C106" s="658">
        <f>IF(D93="","-",+C105+1)</f>
        <v>2029</v>
      </c>
      <c r="D106" s="659">
        <f>IF(F105+SUM(E$99:E105)=D$92,F105,D$92-SUM(E$99:E105))</f>
        <v>32456.589999999997</v>
      </c>
      <c r="E106" s="482">
        <f t="shared" si="16"/>
        <v>901</v>
      </c>
      <c r="F106" s="660">
        <f t="shared" si="17"/>
        <v>31555.589999999997</v>
      </c>
      <c r="G106" s="660">
        <f t="shared" si="18"/>
        <v>32006.089999999997</v>
      </c>
      <c r="H106" s="696">
        <f t="shared" si="12"/>
        <v>4351.6164363190237</v>
      </c>
      <c r="I106" s="697">
        <f t="shared" si="13"/>
        <v>4351.6164363190237</v>
      </c>
      <c r="J106" s="665">
        <f t="shared" si="14"/>
        <v>0</v>
      </c>
      <c r="K106" s="665"/>
      <c r="L106" s="132"/>
      <c r="M106" s="665">
        <f t="shared" si="9"/>
        <v>0</v>
      </c>
      <c r="N106" s="132"/>
      <c r="O106" s="665">
        <f t="shared" si="10"/>
        <v>0</v>
      </c>
      <c r="P106" s="665">
        <f t="shared" si="11"/>
        <v>0</v>
      </c>
    </row>
    <row r="107" spans="1:16">
      <c r="B107" s="9" t="str">
        <f t="shared" si="15"/>
        <v/>
      </c>
      <c r="C107" s="658">
        <f>IF(D93="","-",+C106+1)</f>
        <v>2030</v>
      </c>
      <c r="D107" s="659">
        <f>IF(F106+SUM(E$99:E106)=D$92,F106,D$92-SUM(E$99:E106))</f>
        <v>31555.589999999997</v>
      </c>
      <c r="E107" s="482">
        <f t="shared" si="16"/>
        <v>901</v>
      </c>
      <c r="F107" s="660">
        <f t="shared" si="17"/>
        <v>30654.589999999997</v>
      </c>
      <c r="G107" s="660">
        <f t="shared" si="18"/>
        <v>31105.089999999997</v>
      </c>
      <c r="H107" s="696">
        <f t="shared" si="12"/>
        <v>4254.4785038466907</v>
      </c>
      <c r="I107" s="697">
        <f t="shared" si="13"/>
        <v>4254.4785038466907</v>
      </c>
      <c r="J107" s="665">
        <f t="shared" si="14"/>
        <v>0</v>
      </c>
      <c r="K107" s="665"/>
      <c r="L107" s="132"/>
      <c r="M107" s="665">
        <f t="shared" si="9"/>
        <v>0</v>
      </c>
      <c r="N107" s="132"/>
      <c r="O107" s="665">
        <f t="shared" si="10"/>
        <v>0</v>
      </c>
      <c r="P107" s="665">
        <f t="shared" si="11"/>
        <v>0</v>
      </c>
    </row>
    <row r="108" spans="1:16">
      <c r="B108" s="9" t="str">
        <f t="shared" si="15"/>
        <v/>
      </c>
      <c r="C108" s="658">
        <f>IF(D93="","-",+C107+1)</f>
        <v>2031</v>
      </c>
      <c r="D108" s="659">
        <f>IF(F107+SUM(E$99:E107)=D$92,F107,D$92-SUM(E$99:E107))</f>
        <v>30654.589999999997</v>
      </c>
      <c r="E108" s="482">
        <f t="shared" si="16"/>
        <v>901</v>
      </c>
      <c r="F108" s="660">
        <f t="shared" si="17"/>
        <v>29753.589999999997</v>
      </c>
      <c r="G108" s="660">
        <f t="shared" si="18"/>
        <v>30204.089999999997</v>
      </c>
      <c r="H108" s="696">
        <f t="shared" si="12"/>
        <v>4157.3405713743559</v>
      </c>
      <c r="I108" s="697">
        <f t="shared" si="13"/>
        <v>4157.3405713743559</v>
      </c>
      <c r="J108" s="665">
        <f t="shared" si="14"/>
        <v>0</v>
      </c>
      <c r="K108" s="665"/>
      <c r="L108" s="132"/>
      <c r="M108" s="665">
        <f t="shared" si="9"/>
        <v>0</v>
      </c>
      <c r="N108" s="132"/>
      <c r="O108" s="665">
        <f t="shared" si="10"/>
        <v>0</v>
      </c>
      <c r="P108" s="665">
        <f t="shared" si="11"/>
        <v>0</v>
      </c>
    </row>
    <row r="109" spans="1:16">
      <c r="B109" s="9" t="str">
        <f t="shared" si="15"/>
        <v/>
      </c>
      <c r="C109" s="658">
        <f>IF(D93="","-",+C108+1)</f>
        <v>2032</v>
      </c>
      <c r="D109" s="659">
        <f>IF(F108+SUM(E$99:E108)=D$92,F108,D$92-SUM(E$99:E108))</f>
        <v>29753.589999999997</v>
      </c>
      <c r="E109" s="482">
        <f t="shared" si="16"/>
        <v>901</v>
      </c>
      <c r="F109" s="660">
        <f t="shared" si="17"/>
        <v>28852.589999999997</v>
      </c>
      <c r="G109" s="660">
        <f t="shared" si="18"/>
        <v>29303.089999999997</v>
      </c>
      <c r="H109" s="696">
        <f t="shared" si="12"/>
        <v>4060.2026389020225</v>
      </c>
      <c r="I109" s="697">
        <f t="shared" si="13"/>
        <v>4060.2026389020225</v>
      </c>
      <c r="J109" s="665">
        <f t="shared" si="14"/>
        <v>0</v>
      </c>
      <c r="K109" s="665"/>
      <c r="L109" s="132"/>
      <c r="M109" s="665">
        <f t="shared" si="9"/>
        <v>0</v>
      </c>
      <c r="N109" s="132"/>
      <c r="O109" s="665">
        <f t="shared" si="10"/>
        <v>0</v>
      </c>
      <c r="P109" s="665">
        <f t="shared" si="11"/>
        <v>0</v>
      </c>
    </row>
    <row r="110" spans="1:16">
      <c r="B110" s="9" t="str">
        <f t="shared" si="15"/>
        <v/>
      </c>
      <c r="C110" s="658">
        <f>IF(D93="","-",+C109+1)</f>
        <v>2033</v>
      </c>
      <c r="D110" s="659">
        <f>IF(F109+SUM(E$99:E109)=D$92,F109,D$92-SUM(E$99:E109))</f>
        <v>28852.589999999997</v>
      </c>
      <c r="E110" s="482">
        <f t="shared" si="16"/>
        <v>901</v>
      </c>
      <c r="F110" s="660">
        <f t="shared" si="17"/>
        <v>27951.589999999997</v>
      </c>
      <c r="G110" s="660">
        <f t="shared" si="18"/>
        <v>28402.089999999997</v>
      </c>
      <c r="H110" s="696">
        <f t="shared" si="12"/>
        <v>3963.0647064296886</v>
      </c>
      <c r="I110" s="697">
        <f t="shared" si="13"/>
        <v>3963.0647064296886</v>
      </c>
      <c r="J110" s="665">
        <f t="shared" si="14"/>
        <v>0</v>
      </c>
      <c r="K110" s="665"/>
      <c r="L110" s="132"/>
      <c r="M110" s="665">
        <f t="shared" si="9"/>
        <v>0</v>
      </c>
      <c r="N110" s="132"/>
      <c r="O110" s="665">
        <f t="shared" si="10"/>
        <v>0</v>
      </c>
      <c r="P110" s="665">
        <f t="shared" si="11"/>
        <v>0</v>
      </c>
    </row>
    <row r="111" spans="1:16">
      <c r="B111" s="9" t="str">
        <f t="shared" si="15"/>
        <v/>
      </c>
      <c r="C111" s="658">
        <f>IF(D93="","-",+C110+1)</f>
        <v>2034</v>
      </c>
      <c r="D111" s="659">
        <f>IF(F110+SUM(E$99:E110)=D$92,F110,D$92-SUM(E$99:E110))</f>
        <v>27951.589999999997</v>
      </c>
      <c r="E111" s="482">
        <f t="shared" si="16"/>
        <v>901</v>
      </c>
      <c r="F111" s="660">
        <f t="shared" si="17"/>
        <v>27050.589999999997</v>
      </c>
      <c r="G111" s="660">
        <f t="shared" si="18"/>
        <v>27501.089999999997</v>
      </c>
      <c r="H111" s="696">
        <f t="shared" si="12"/>
        <v>3865.9267739573547</v>
      </c>
      <c r="I111" s="697">
        <f t="shared" si="13"/>
        <v>3865.9267739573547</v>
      </c>
      <c r="J111" s="665">
        <f t="shared" si="14"/>
        <v>0</v>
      </c>
      <c r="K111" s="665"/>
      <c r="L111" s="132"/>
      <c r="M111" s="665">
        <f t="shared" si="9"/>
        <v>0</v>
      </c>
      <c r="N111" s="132"/>
      <c r="O111" s="665">
        <f t="shared" si="10"/>
        <v>0</v>
      </c>
      <c r="P111" s="665">
        <f t="shared" si="11"/>
        <v>0</v>
      </c>
    </row>
    <row r="112" spans="1:16">
      <c r="B112" s="9" t="str">
        <f t="shared" si="15"/>
        <v/>
      </c>
      <c r="C112" s="658">
        <f>IF(D93="","-",+C111+1)</f>
        <v>2035</v>
      </c>
      <c r="D112" s="659">
        <f>IF(F111+SUM(E$99:E111)=D$92,F111,D$92-SUM(E$99:E111))</f>
        <v>27050.589999999997</v>
      </c>
      <c r="E112" s="482">
        <f t="shared" si="16"/>
        <v>901</v>
      </c>
      <c r="F112" s="660">
        <f t="shared" si="17"/>
        <v>26149.589999999997</v>
      </c>
      <c r="G112" s="660">
        <f t="shared" si="18"/>
        <v>26600.089999999997</v>
      </c>
      <c r="H112" s="696">
        <f t="shared" si="12"/>
        <v>3768.7888414850208</v>
      </c>
      <c r="I112" s="697">
        <f t="shared" si="13"/>
        <v>3768.7888414850208</v>
      </c>
      <c r="J112" s="665">
        <f t="shared" si="14"/>
        <v>0</v>
      </c>
      <c r="K112" s="665"/>
      <c r="L112" s="132"/>
      <c r="M112" s="665">
        <f t="shared" si="9"/>
        <v>0</v>
      </c>
      <c r="N112" s="132"/>
      <c r="O112" s="665">
        <f t="shared" si="10"/>
        <v>0</v>
      </c>
      <c r="P112" s="665">
        <f t="shared" si="11"/>
        <v>0</v>
      </c>
    </row>
    <row r="113" spans="2:16">
      <c r="B113" s="9" t="str">
        <f t="shared" si="15"/>
        <v/>
      </c>
      <c r="C113" s="658">
        <f>IF(D93="","-",+C112+1)</f>
        <v>2036</v>
      </c>
      <c r="D113" s="659">
        <f>IF(F112+SUM(E$99:E112)=D$92,F112,D$92-SUM(E$99:E112))</f>
        <v>26149.589999999997</v>
      </c>
      <c r="E113" s="482">
        <f t="shared" si="16"/>
        <v>901</v>
      </c>
      <c r="F113" s="660">
        <f t="shared" si="17"/>
        <v>25248.589999999997</v>
      </c>
      <c r="G113" s="660">
        <f t="shared" si="18"/>
        <v>25699.089999999997</v>
      </c>
      <c r="H113" s="696">
        <f t="shared" si="12"/>
        <v>3671.650909012687</v>
      </c>
      <c r="I113" s="697">
        <f t="shared" si="13"/>
        <v>3671.650909012687</v>
      </c>
      <c r="J113" s="665">
        <f t="shared" si="14"/>
        <v>0</v>
      </c>
      <c r="K113" s="665"/>
      <c r="L113" s="132"/>
      <c r="M113" s="665">
        <f t="shared" si="9"/>
        <v>0</v>
      </c>
      <c r="N113" s="132"/>
      <c r="O113" s="665">
        <f t="shared" si="10"/>
        <v>0</v>
      </c>
      <c r="P113" s="665">
        <f t="shared" si="11"/>
        <v>0</v>
      </c>
    </row>
    <row r="114" spans="2:16">
      <c r="B114" s="9" t="str">
        <f t="shared" si="15"/>
        <v/>
      </c>
      <c r="C114" s="658">
        <f>IF(D93="","-",+C113+1)</f>
        <v>2037</v>
      </c>
      <c r="D114" s="659">
        <f>IF(F113+SUM(E$99:E113)=D$92,F113,D$92-SUM(E$99:E113))</f>
        <v>25248.589999999997</v>
      </c>
      <c r="E114" s="482">
        <f t="shared" si="16"/>
        <v>901</v>
      </c>
      <c r="F114" s="660">
        <f t="shared" si="17"/>
        <v>24347.589999999997</v>
      </c>
      <c r="G114" s="660">
        <f t="shared" si="18"/>
        <v>24798.089999999997</v>
      </c>
      <c r="H114" s="696">
        <f t="shared" si="12"/>
        <v>3574.5129765403531</v>
      </c>
      <c r="I114" s="697">
        <f t="shared" si="13"/>
        <v>3574.5129765403531</v>
      </c>
      <c r="J114" s="665">
        <f t="shared" si="14"/>
        <v>0</v>
      </c>
      <c r="K114" s="665"/>
      <c r="L114" s="132"/>
      <c r="M114" s="665">
        <f t="shared" si="9"/>
        <v>0</v>
      </c>
      <c r="N114" s="132"/>
      <c r="O114" s="665">
        <f t="shared" si="10"/>
        <v>0</v>
      </c>
      <c r="P114" s="665">
        <f t="shared" si="11"/>
        <v>0</v>
      </c>
    </row>
    <row r="115" spans="2:16">
      <c r="B115" s="9" t="str">
        <f t="shared" si="15"/>
        <v/>
      </c>
      <c r="C115" s="658">
        <f>IF(D93="","-",+C114+1)</f>
        <v>2038</v>
      </c>
      <c r="D115" s="659">
        <f>IF(F114+SUM(E$99:E114)=D$92,F114,D$92-SUM(E$99:E114))</f>
        <v>24347.589999999997</v>
      </c>
      <c r="E115" s="482">
        <f t="shared" si="16"/>
        <v>901</v>
      </c>
      <c r="F115" s="660">
        <f t="shared" si="17"/>
        <v>23446.589999999997</v>
      </c>
      <c r="G115" s="660">
        <f t="shared" si="18"/>
        <v>23897.089999999997</v>
      </c>
      <c r="H115" s="696">
        <f t="shared" si="12"/>
        <v>3477.3750440680192</v>
      </c>
      <c r="I115" s="697">
        <f t="shared" si="13"/>
        <v>3477.3750440680192</v>
      </c>
      <c r="J115" s="665">
        <f t="shared" si="14"/>
        <v>0</v>
      </c>
      <c r="K115" s="665"/>
      <c r="L115" s="132"/>
      <c r="M115" s="665">
        <f t="shared" si="9"/>
        <v>0</v>
      </c>
      <c r="N115" s="132"/>
      <c r="O115" s="665">
        <f t="shared" si="10"/>
        <v>0</v>
      </c>
      <c r="P115" s="665">
        <f t="shared" si="11"/>
        <v>0</v>
      </c>
    </row>
    <row r="116" spans="2:16">
      <c r="B116" s="9" t="str">
        <f t="shared" si="15"/>
        <v/>
      </c>
      <c r="C116" s="658">
        <f>IF(D93="","-",+C115+1)</f>
        <v>2039</v>
      </c>
      <c r="D116" s="659">
        <f>IF(F115+SUM(E$99:E115)=D$92,F115,D$92-SUM(E$99:E115))</f>
        <v>23446.589999999997</v>
      </c>
      <c r="E116" s="482">
        <f t="shared" si="16"/>
        <v>901</v>
      </c>
      <c r="F116" s="660">
        <f t="shared" si="17"/>
        <v>22545.589999999997</v>
      </c>
      <c r="G116" s="660">
        <f t="shared" si="18"/>
        <v>22996.089999999997</v>
      </c>
      <c r="H116" s="696">
        <f t="shared" si="12"/>
        <v>3380.2371115956853</v>
      </c>
      <c r="I116" s="697">
        <f t="shared" si="13"/>
        <v>3380.2371115956853</v>
      </c>
      <c r="J116" s="665">
        <f t="shared" si="14"/>
        <v>0</v>
      </c>
      <c r="K116" s="665"/>
      <c r="L116" s="132"/>
      <c r="M116" s="665">
        <f t="shared" si="9"/>
        <v>0</v>
      </c>
      <c r="N116" s="132"/>
      <c r="O116" s="665">
        <f t="shared" si="10"/>
        <v>0</v>
      </c>
      <c r="P116" s="665">
        <f t="shared" si="11"/>
        <v>0</v>
      </c>
    </row>
    <row r="117" spans="2:16">
      <c r="B117" s="9" t="str">
        <f t="shared" si="15"/>
        <v/>
      </c>
      <c r="C117" s="658">
        <f>IF(D93="","-",+C116+1)</f>
        <v>2040</v>
      </c>
      <c r="D117" s="659">
        <f>IF(F116+SUM(E$99:E116)=D$92,F116,D$92-SUM(E$99:E116))</f>
        <v>22545.589999999997</v>
      </c>
      <c r="E117" s="482">
        <f t="shared" si="16"/>
        <v>901</v>
      </c>
      <c r="F117" s="660">
        <f t="shared" si="17"/>
        <v>21644.589999999997</v>
      </c>
      <c r="G117" s="660">
        <f t="shared" si="18"/>
        <v>22095.089999999997</v>
      </c>
      <c r="H117" s="696">
        <f t="shared" si="12"/>
        <v>3283.0991791233514</v>
      </c>
      <c r="I117" s="697">
        <f t="shared" si="13"/>
        <v>3283.0991791233514</v>
      </c>
      <c r="J117" s="665">
        <f t="shared" si="14"/>
        <v>0</v>
      </c>
      <c r="K117" s="665"/>
      <c r="L117" s="132"/>
      <c r="M117" s="665">
        <f t="shared" si="9"/>
        <v>0</v>
      </c>
      <c r="N117" s="132"/>
      <c r="O117" s="665">
        <f t="shared" si="10"/>
        <v>0</v>
      </c>
      <c r="P117" s="665">
        <f t="shared" si="11"/>
        <v>0</v>
      </c>
    </row>
    <row r="118" spans="2:16">
      <c r="B118" s="9" t="str">
        <f t="shared" si="15"/>
        <v/>
      </c>
      <c r="C118" s="658">
        <f>IF(D93="","-",+C117+1)</f>
        <v>2041</v>
      </c>
      <c r="D118" s="659">
        <f>IF(F117+SUM(E$99:E117)=D$92,F117,D$92-SUM(E$99:E117))</f>
        <v>21644.589999999997</v>
      </c>
      <c r="E118" s="482">
        <f t="shared" si="16"/>
        <v>901</v>
      </c>
      <c r="F118" s="660">
        <f t="shared" si="17"/>
        <v>20743.589999999997</v>
      </c>
      <c r="G118" s="660">
        <f t="shared" si="18"/>
        <v>21194.089999999997</v>
      </c>
      <c r="H118" s="696">
        <f t="shared" si="12"/>
        <v>3185.9612466510175</v>
      </c>
      <c r="I118" s="697">
        <f t="shared" si="13"/>
        <v>3185.9612466510175</v>
      </c>
      <c r="J118" s="665">
        <f t="shared" si="14"/>
        <v>0</v>
      </c>
      <c r="K118" s="665"/>
      <c r="L118" s="132"/>
      <c r="M118" s="665">
        <f t="shared" si="9"/>
        <v>0</v>
      </c>
      <c r="N118" s="132"/>
      <c r="O118" s="665">
        <f t="shared" si="10"/>
        <v>0</v>
      </c>
      <c r="P118" s="665">
        <f t="shared" si="11"/>
        <v>0</v>
      </c>
    </row>
    <row r="119" spans="2:16">
      <c r="B119" s="9" t="str">
        <f t="shared" si="15"/>
        <v/>
      </c>
      <c r="C119" s="658">
        <f>IF(D93="","-",+C118+1)</f>
        <v>2042</v>
      </c>
      <c r="D119" s="659">
        <f>IF(F118+SUM(E$99:E118)=D$92,F118,D$92-SUM(E$99:E118))</f>
        <v>20743.589999999997</v>
      </c>
      <c r="E119" s="482">
        <f t="shared" si="16"/>
        <v>901</v>
      </c>
      <c r="F119" s="660">
        <f t="shared" si="17"/>
        <v>19842.589999999997</v>
      </c>
      <c r="G119" s="660">
        <f t="shared" si="18"/>
        <v>20293.089999999997</v>
      </c>
      <c r="H119" s="696">
        <f t="shared" si="12"/>
        <v>3088.8233141786836</v>
      </c>
      <c r="I119" s="697">
        <f t="shared" si="13"/>
        <v>3088.8233141786836</v>
      </c>
      <c r="J119" s="665">
        <f t="shared" si="14"/>
        <v>0</v>
      </c>
      <c r="K119" s="665"/>
      <c r="L119" s="132"/>
      <c r="M119" s="665">
        <f t="shared" si="9"/>
        <v>0</v>
      </c>
      <c r="N119" s="132"/>
      <c r="O119" s="665">
        <f t="shared" si="10"/>
        <v>0</v>
      </c>
      <c r="P119" s="665">
        <f t="shared" si="11"/>
        <v>0</v>
      </c>
    </row>
    <row r="120" spans="2:16">
      <c r="B120" s="9" t="str">
        <f t="shared" si="15"/>
        <v/>
      </c>
      <c r="C120" s="658">
        <f>IF(D93="","-",+C119+1)</f>
        <v>2043</v>
      </c>
      <c r="D120" s="659">
        <f>IF(F119+SUM(E$99:E119)=D$92,F119,D$92-SUM(E$99:E119))</f>
        <v>19842.589999999997</v>
      </c>
      <c r="E120" s="482">
        <f t="shared" si="16"/>
        <v>901</v>
      </c>
      <c r="F120" s="660">
        <f t="shared" si="17"/>
        <v>18941.589999999997</v>
      </c>
      <c r="G120" s="660">
        <f t="shared" si="18"/>
        <v>19392.089999999997</v>
      </c>
      <c r="H120" s="696">
        <f t="shared" si="12"/>
        <v>2991.6853817063497</v>
      </c>
      <c r="I120" s="697">
        <f t="shared" si="13"/>
        <v>2991.6853817063497</v>
      </c>
      <c r="J120" s="665">
        <f t="shared" si="14"/>
        <v>0</v>
      </c>
      <c r="K120" s="665"/>
      <c r="L120" s="132"/>
      <c r="M120" s="665">
        <f t="shared" si="9"/>
        <v>0</v>
      </c>
      <c r="N120" s="132"/>
      <c r="O120" s="665">
        <f t="shared" si="10"/>
        <v>0</v>
      </c>
      <c r="P120" s="665">
        <f t="shared" si="11"/>
        <v>0</v>
      </c>
    </row>
    <row r="121" spans="2:16">
      <c r="B121" s="9" t="str">
        <f t="shared" si="15"/>
        <v/>
      </c>
      <c r="C121" s="658">
        <f>IF(D93="","-",+C120+1)</f>
        <v>2044</v>
      </c>
      <c r="D121" s="659">
        <f>IF(F120+SUM(E$99:E120)=D$92,F120,D$92-SUM(E$99:E120))</f>
        <v>18941.589999999997</v>
      </c>
      <c r="E121" s="482">
        <f t="shared" si="16"/>
        <v>901</v>
      </c>
      <c r="F121" s="660">
        <f t="shared" si="17"/>
        <v>18040.589999999997</v>
      </c>
      <c r="G121" s="660">
        <f t="shared" si="18"/>
        <v>18491.089999999997</v>
      </c>
      <c r="H121" s="696">
        <f t="shared" si="12"/>
        <v>2894.5474492340154</v>
      </c>
      <c r="I121" s="697">
        <f t="shared" si="13"/>
        <v>2894.5474492340154</v>
      </c>
      <c r="J121" s="665">
        <f t="shared" si="14"/>
        <v>0</v>
      </c>
      <c r="K121" s="665"/>
      <c r="L121" s="132"/>
      <c r="M121" s="665">
        <f t="shared" si="9"/>
        <v>0</v>
      </c>
      <c r="N121" s="132"/>
      <c r="O121" s="665">
        <f t="shared" si="10"/>
        <v>0</v>
      </c>
      <c r="P121" s="665">
        <f t="shared" si="11"/>
        <v>0</v>
      </c>
    </row>
    <row r="122" spans="2:16">
      <c r="B122" s="9" t="str">
        <f t="shared" si="15"/>
        <v/>
      </c>
      <c r="C122" s="658">
        <f>IF(D93="","-",+C121+1)</f>
        <v>2045</v>
      </c>
      <c r="D122" s="659">
        <f>IF(F121+SUM(E$99:E121)=D$92,F121,D$92-SUM(E$99:E121))</f>
        <v>18040.589999999997</v>
      </c>
      <c r="E122" s="482">
        <f t="shared" si="16"/>
        <v>901</v>
      </c>
      <c r="F122" s="660">
        <f t="shared" si="17"/>
        <v>17139.589999999997</v>
      </c>
      <c r="G122" s="660">
        <f t="shared" si="18"/>
        <v>17590.089999999997</v>
      </c>
      <c r="H122" s="696">
        <f t="shared" si="12"/>
        <v>2797.4095167616815</v>
      </c>
      <c r="I122" s="697">
        <f t="shared" si="13"/>
        <v>2797.4095167616815</v>
      </c>
      <c r="J122" s="665">
        <f t="shared" si="14"/>
        <v>0</v>
      </c>
      <c r="K122" s="665"/>
      <c r="L122" s="132"/>
      <c r="M122" s="665">
        <f t="shared" si="9"/>
        <v>0</v>
      </c>
      <c r="N122" s="132"/>
      <c r="O122" s="665">
        <f t="shared" si="10"/>
        <v>0</v>
      </c>
      <c r="P122" s="665">
        <f t="shared" si="11"/>
        <v>0</v>
      </c>
    </row>
    <row r="123" spans="2:16">
      <c r="B123" s="9" t="str">
        <f t="shared" si="15"/>
        <v/>
      </c>
      <c r="C123" s="658">
        <f>IF(D93="","-",+C122+1)</f>
        <v>2046</v>
      </c>
      <c r="D123" s="659">
        <f>IF(F122+SUM(E$99:E122)=D$92,F122,D$92-SUM(E$99:E122))</f>
        <v>17139.589999999997</v>
      </c>
      <c r="E123" s="482">
        <f t="shared" si="16"/>
        <v>901</v>
      </c>
      <c r="F123" s="660">
        <f t="shared" si="17"/>
        <v>16238.589999999997</v>
      </c>
      <c r="G123" s="660">
        <f t="shared" si="18"/>
        <v>16689.089999999997</v>
      </c>
      <c r="H123" s="696">
        <f t="shared" si="12"/>
        <v>2700.2715842893476</v>
      </c>
      <c r="I123" s="697">
        <f t="shared" si="13"/>
        <v>2700.2715842893476</v>
      </c>
      <c r="J123" s="665">
        <f t="shared" si="14"/>
        <v>0</v>
      </c>
      <c r="K123" s="665"/>
      <c r="L123" s="132"/>
      <c r="M123" s="665">
        <f t="shared" si="9"/>
        <v>0</v>
      </c>
      <c r="N123" s="132"/>
      <c r="O123" s="665">
        <f t="shared" si="10"/>
        <v>0</v>
      </c>
      <c r="P123" s="665">
        <f t="shared" si="11"/>
        <v>0</v>
      </c>
    </row>
    <row r="124" spans="2:16">
      <c r="B124" s="9" t="str">
        <f t="shared" si="15"/>
        <v/>
      </c>
      <c r="C124" s="658">
        <f>IF(D93="","-",+C123+1)</f>
        <v>2047</v>
      </c>
      <c r="D124" s="659">
        <f>IF(F123+SUM(E$99:E123)=D$92,F123,D$92-SUM(E$99:E123))</f>
        <v>16238.589999999997</v>
      </c>
      <c r="E124" s="482">
        <f t="shared" si="16"/>
        <v>901</v>
      </c>
      <c r="F124" s="660">
        <f t="shared" si="17"/>
        <v>15337.589999999997</v>
      </c>
      <c r="G124" s="660">
        <f t="shared" si="18"/>
        <v>15788.089999999997</v>
      </c>
      <c r="H124" s="696">
        <f t="shared" si="12"/>
        <v>2603.1336518170137</v>
      </c>
      <c r="I124" s="697">
        <f t="shared" si="13"/>
        <v>2603.1336518170137</v>
      </c>
      <c r="J124" s="665">
        <f t="shared" si="14"/>
        <v>0</v>
      </c>
      <c r="K124" s="665"/>
      <c r="L124" s="132"/>
      <c r="M124" s="665">
        <f t="shared" si="9"/>
        <v>0</v>
      </c>
      <c r="N124" s="132"/>
      <c r="O124" s="665">
        <f t="shared" si="10"/>
        <v>0</v>
      </c>
      <c r="P124" s="665">
        <f t="shared" si="11"/>
        <v>0</v>
      </c>
    </row>
    <row r="125" spans="2:16">
      <c r="B125" s="9" t="str">
        <f t="shared" si="15"/>
        <v/>
      </c>
      <c r="C125" s="658">
        <f>IF(D93="","-",+C124+1)</f>
        <v>2048</v>
      </c>
      <c r="D125" s="659">
        <f>IF(F124+SUM(E$99:E124)=D$92,F124,D$92-SUM(E$99:E124))</f>
        <v>15337.589999999997</v>
      </c>
      <c r="E125" s="482">
        <f t="shared" si="16"/>
        <v>901</v>
      </c>
      <c r="F125" s="660">
        <f t="shared" si="17"/>
        <v>14436.589999999997</v>
      </c>
      <c r="G125" s="660">
        <f t="shared" si="18"/>
        <v>14887.089999999997</v>
      </c>
      <c r="H125" s="696">
        <f t="shared" si="12"/>
        <v>2505.9957193446799</v>
      </c>
      <c r="I125" s="697">
        <f t="shared" si="13"/>
        <v>2505.9957193446799</v>
      </c>
      <c r="J125" s="665">
        <f t="shared" si="14"/>
        <v>0</v>
      </c>
      <c r="K125" s="665"/>
      <c r="L125" s="132"/>
      <c r="M125" s="665">
        <f t="shared" si="9"/>
        <v>0</v>
      </c>
      <c r="N125" s="132"/>
      <c r="O125" s="665">
        <f t="shared" si="10"/>
        <v>0</v>
      </c>
      <c r="P125" s="665">
        <f t="shared" si="11"/>
        <v>0</v>
      </c>
    </row>
    <row r="126" spans="2:16">
      <c r="B126" s="9" t="str">
        <f t="shared" si="15"/>
        <v/>
      </c>
      <c r="C126" s="658">
        <f>IF(D93="","-",+C125+1)</f>
        <v>2049</v>
      </c>
      <c r="D126" s="659">
        <f>IF(F125+SUM(E$99:E125)=D$92,F125,D$92-SUM(E$99:E125))</f>
        <v>14436.589999999997</v>
      </c>
      <c r="E126" s="482">
        <f t="shared" si="16"/>
        <v>901</v>
      </c>
      <c r="F126" s="660">
        <f t="shared" si="17"/>
        <v>13535.589999999997</v>
      </c>
      <c r="G126" s="660">
        <f t="shared" si="18"/>
        <v>13986.089999999997</v>
      </c>
      <c r="H126" s="696">
        <f t="shared" si="12"/>
        <v>2408.857786872346</v>
      </c>
      <c r="I126" s="697">
        <f t="shared" si="13"/>
        <v>2408.857786872346</v>
      </c>
      <c r="J126" s="665">
        <f t="shared" si="14"/>
        <v>0</v>
      </c>
      <c r="K126" s="665"/>
      <c r="L126" s="132"/>
      <c r="M126" s="665">
        <f t="shared" si="9"/>
        <v>0</v>
      </c>
      <c r="N126" s="132"/>
      <c r="O126" s="665">
        <f t="shared" si="10"/>
        <v>0</v>
      </c>
      <c r="P126" s="665">
        <f t="shared" si="11"/>
        <v>0</v>
      </c>
    </row>
    <row r="127" spans="2:16">
      <c r="B127" s="9" t="str">
        <f t="shared" si="15"/>
        <v/>
      </c>
      <c r="C127" s="658">
        <f>IF(D93="","-",+C126+1)</f>
        <v>2050</v>
      </c>
      <c r="D127" s="659">
        <f>IF(F126+SUM(E$99:E126)=D$92,F126,D$92-SUM(E$99:E126))</f>
        <v>13535.589999999997</v>
      </c>
      <c r="E127" s="482">
        <f t="shared" si="16"/>
        <v>901</v>
      </c>
      <c r="F127" s="660">
        <f t="shared" si="17"/>
        <v>12634.589999999997</v>
      </c>
      <c r="G127" s="660">
        <f t="shared" si="18"/>
        <v>13085.089999999997</v>
      </c>
      <c r="H127" s="696">
        <f t="shared" si="12"/>
        <v>2311.7198544000121</v>
      </c>
      <c r="I127" s="697">
        <f t="shared" si="13"/>
        <v>2311.7198544000121</v>
      </c>
      <c r="J127" s="665">
        <f t="shared" si="14"/>
        <v>0</v>
      </c>
      <c r="K127" s="665"/>
      <c r="L127" s="132"/>
      <c r="M127" s="665">
        <f t="shared" si="9"/>
        <v>0</v>
      </c>
      <c r="N127" s="132"/>
      <c r="O127" s="665">
        <f t="shared" si="10"/>
        <v>0</v>
      </c>
      <c r="P127" s="665">
        <f t="shared" si="11"/>
        <v>0</v>
      </c>
    </row>
    <row r="128" spans="2:16">
      <c r="B128" s="9" t="str">
        <f t="shared" si="15"/>
        <v/>
      </c>
      <c r="C128" s="658">
        <f>IF(D93="","-",+C127+1)</f>
        <v>2051</v>
      </c>
      <c r="D128" s="659">
        <f>IF(F127+SUM(E$99:E127)=D$92,F127,D$92-SUM(E$99:E127))</f>
        <v>12634.589999999997</v>
      </c>
      <c r="E128" s="482">
        <f t="shared" si="16"/>
        <v>901</v>
      </c>
      <c r="F128" s="660">
        <f t="shared" si="17"/>
        <v>11733.589999999997</v>
      </c>
      <c r="G128" s="660">
        <f t="shared" si="18"/>
        <v>12184.089999999997</v>
      </c>
      <c r="H128" s="696">
        <f t="shared" si="12"/>
        <v>2214.5819219276782</v>
      </c>
      <c r="I128" s="697">
        <f t="shared" si="13"/>
        <v>2214.5819219276782</v>
      </c>
      <c r="J128" s="665">
        <f t="shared" si="14"/>
        <v>0</v>
      </c>
      <c r="K128" s="665"/>
      <c r="L128" s="132"/>
      <c r="M128" s="665">
        <f t="shared" si="9"/>
        <v>0</v>
      </c>
      <c r="N128" s="132"/>
      <c r="O128" s="665">
        <f t="shared" si="10"/>
        <v>0</v>
      </c>
      <c r="P128" s="665">
        <f t="shared" si="11"/>
        <v>0</v>
      </c>
    </row>
    <row r="129" spans="2:16">
      <c r="B129" s="9" t="str">
        <f t="shared" si="15"/>
        <v/>
      </c>
      <c r="C129" s="658">
        <f>IF(D93="","-",+C128+1)</f>
        <v>2052</v>
      </c>
      <c r="D129" s="659">
        <f>IF(F128+SUM(E$99:E128)=D$92,F128,D$92-SUM(E$99:E128))</f>
        <v>11733.589999999997</v>
      </c>
      <c r="E129" s="482">
        <f t="shared" si="16"/>
        <v>901</v>
      </c>
      <c r="F129" s="660">
        <f t="shared" si="17"/>
        <v>10832.589999999997</v>
      </c>
      <c r="G129" s="660">
        <f t="shared" si="18"/>
        <v>11283.089999999997</v>
      </c>
      <c r="H129" s="696">
        <f t="shared" si="12"/>
        <v>2117.4439894553443</v>
      </c>
      <c r="I129" s="697">
        <f t="shared" si="13"/>
        <v>2117.4439894553443</v>
      </c>
      <c r="J129" s="665">
        <f t="shared" si="14"/>
        <v>0</v>
      </c>
      <c r="K129" s="665"/>
      <c r="L129" s="132"/>
      <c r="M129" s="665">
        <f t="shared" si="9"/>
        <v>0</v>
      </c>
      <c r="N129" s="132"/>
      <c r="O129" s="665">
        <f t="shared" si="10"/>
        <v>0</v>
      </c>
      <c r="P129" s="665">
        <f t="shared" si="11"/>
        <v>0</v>
      </c>
    </row>
    <row r="130" spans="2:16">
      <c r="B130" s="9" t="str">
        <f t="shared" si="15"/>
        <v/>
      </c>
      <c r="C130" s="658">
        <f>IF(D93="","-",+C129+1)</f>
        <v>2053</v>
      </c>
      <c r="D130" s="659">
        <f>IF(F129+SUM(E$99:E129)=D$92,F129,D$92-SUM(E$99:E129))</f>
        <v>10832.589999999997</v>
      </c>
      <c r="E130" s="482">
        <f t="shared" si="16"/>
        <v>901</v>
      </c>
      <c r="F130" s="660">
        <f t="shared" si="17"/>
        <v>9931.5899999999965</v>
      </c>
      <c r="G130" s="660">
        <f t="shared" si="18"/>
        <v>10382.089999999997</v>
      </c>
      <c r="H130" s="696">
        <f t="shared" si="12"/>
        <v>2020.3060569830106</v>
      </c>
      <c r="I130" s="697">
        <f t="shared" si="13"/>
        <v>2020.3060569830106</v>
      </c>
      <c r="J130" s="665">
        <f t="shared" si="14"/>
        <v>0</v>
      </c>
      <c r="K130" s="665"/>
      <c r="L130" s="132"/>
      <c r="M130" s="665">
        <f t="shared" si="9"/>
        <v>0</v>
      </c>
      <c r="N130" s="132"/>
      <c r="O130" s="665">
        <f t="shared" si="10"/>
        <v>0</v>
      </c>
      <c r="P130" s="665">
        <f t="shared" si="11"/>
        <v>0</v>
      </c>
    </row>
    <row r="131" spans="2:16">
      <c r="B131" s="9" t="str">
        <f t="shared" si="15"/>
        <v/>
      </c>
      <c r="C131" s="658">
        <f>IF(D93="","-",+C130+1)</f>
        <v>2054</v>
      </c>
      <c r="D131" s="659">
        <f>IF(F130+SUM(E$99:E130)=D$92,F130,D$92-SUM(E$99:E130))</f>
        <v>9931.5899999999965</v>
      </c>
      <c r="E131" s="482">
        <f t="shared" si="16"/>
        <v>901</v>
      </c>
      <c r="F131" s="660">
        <f t="shared" si="17"/>
        <v>9030.5899999999965</v>
      </c>
      <c r="G131" s="660">
        <f t="shared" si="18"/>
        <v>9481.0899999999965</v>
      </c>
      <c r="H131" s="696">
        <f t="shared" si="12"/>
        <v>1923.1681245106768</v>
      </c>
      <c r="I131" s="697">
        <f t="shared" si="13"/>
        <v>1923.1681245106768</v>
      </c>
      <c r="J131" s="665">
        <f t="shared" ref="J131:J154" si="19">+I541-H541</f>
        <v>0</v>
      </c>
      <c r="K131" s="665"/>
      <c r="L131" s="132"/>
      <c r="M131" s="665">
        <f t="shared" ref="M131:M154" si="20">IF(L541&lt;&gt;0,+H541-L541,0)</f>
        <v>0</v>
      </c>
      <c r="N131" s="132"/>
      <c r="O131" s="665">
        <f t="shared" ref="O131:O154" si="21">IF(N541&lt;&gt;0,+I541-N541,0)</f>
        <v>0</v>
      </c>
      <c r="P131" s="665">
        <f t="shared" ref="P131:P154" si="22">+O541-M541</f>
        <v>0</v>
      </c>
    </row>
    <row r="132" spans="2:16">
      <c r="B132" s="9" t="str">
        <f t="shared" si="15"/>
        <v/>
      </c>
      <c r="C132" s="658">
        <f>IF(D93="","-",+C131+1)</f>
        <v>2055</v>
      </c>
      <c r="D132" s="659">
        <f>IF(F131+SUM(E$99:E131)=D$92,F131,D$92-SUM(E$99:E131))</f>
        <v>9030.5899999999965</v>
      </c>
      <c r="E132" s="482">
        <f t="shared" si="16"/>
        <v>901</v>
      </c>
      <c r="F132" s="660">
        <f t="shared" si="17"/>
        <v>8129.5899999999965</v>
      </c>
      <c r="G132" s="660">
        <f t="shared" si="18"/>
        <v>8580.0899999999965</v>
      </c>
      <c r="H132" s="696">
        <f t="shared" si="12"/>
        <v>1826.0301920383429</v>
      </c>
      <c r="I132" s="697">
        <f t="shared" si="13"/>
        <v>1826.0301920383429</v>
      </c>
      <c r="J132" s="665">
        <f t="shared" si="19"/>
        <v>0</v>
      </c>
      <c r="K132" s="665"/>
      <c r="L132" s="132"/>
      <c r="M132" s="665">
        <f t="shared" si="20"/>
        <v>0</v>
      </c>
      <c r="N132" s="132"/>
      <c r="O132" s="665">
        <f t="shared" si="21"/>
        <v>0</v>
      </c>
      <c r="P132" s="665">
        <f t="shared" si="22"/>
        <v>0</v>
      </c>
    </row>
    <row r="133" spans="2:16">
      <c r="B133" s="9" t="str">
        <f t="shared" si="15"/>
        <v/>
      </c>
      <c r="C133" s="658">
        <f>IF(D93="","-",+C132+1)</f>
        <v>2056</v>
      </c>
      <c r="D133" s="659">
        <f>IF(F132+SUM(E$99:E132)=D$92,F132,D$92-SUM(E$99:E132))</f>
        <v>8129.5899999999965</v>
      </c>
      <c r="E133" s="482">
        <f t="shared" si="16"/>
        <v>901</v>
      </c>
      <c r="F133" s="660">
        <f t="shared" si="17"/>
        <v>7228.5899999999965</v>
      </c>
      <c r="G133" s="660">
        <f t="shared" si="18"/>
        <v>7679.0899999999965</v>
      </c>
      <c r="H133" s="696">
        <f t="shared" si="12"/>
        <v>1728.892259566009</v>
      </c>
      <c r="I133" s="697">
        <f t="shared" si="13"/>
        <v>1728.892259566009</v>
      </c>
      <c r="J133" s="665">
        <f t="shared" si="19"/>
        <v>0</v>
      </c>
      <c r="K133" s="665"/>
      <c r="L133" s="132"/>
      <c r="M133" s="665">
        <f t="shared" si="20"/>
        <v>0</v>
      </c>
      <c r="N133" s="132"/>
      <c r="O133" s="665">
        <f t="shared" si="21"/>
        <v>0</v>
      </c>
      <c r="P133" s="665">
        <f t="shared" si="22"/>
        <v>0</v>
      </c>
    </row>
    <row r="134" spans="2:16">
      <c r="B134" s="9" t="str">
        <f t="shared" si="15"/>
        <v/>
      </c>
      <c r="C134" s="658">
        <f>IF(D93="","-",+C133+1)</f>
        <v>2057</v>
      </c>
      <c r="D134" s="659">
        <f>IF(F133+SUM(E$99:E133)=D$92,F133,D$92-SUM(E$99:E133))</f>
        <v>7228.5899999999965</v>
      </c>
      <c r="E134" s="482">
        <f t="shared" si="16"/>
        <v>901</v>
      </c>
      <c r="F134" s="660">
        <f t="shared" si="17"/>
        <v>6327.5899999999965</v>
      </c>
      <c r="G134" s="660">
        <f t="shared" si="18"/>
        <v>6778.0899999999965</v>
      </c>
      <c r="H134" s="696">
        <f t="shared" si="12"/>
        <v>1631.7543270936751</v>
      </c>
      <c r="I134" s="697">
        <f t="shared" si="13"/>
        <v>1631.7543270936751</v>
      </c>
      <c r="J134" s="665">
        <f t="shared" si="19"/>
        <v>0</v>
      </c>
      <c r="K134" s="665"/>
      <c r="L134" s="132"/>
      <c r="M134" s="665">
        <f t="shared" si="20"/>
        <v>0</v>
      </c>
      <c r="N134" s="132"/>
      <c r="O134" s="665">
        <f t="shared" si="21"/>
        <v>0</v>
      </c>
      <c r="P134" s="665">
        <f t="shared" si="22"/>
        <v>0</v>
      </c>
    </row>
    <row r="135" spans="2:16">
      <c r="B135" s="9" t="str">
        <f t="shared" si="15"/>
        <v/>
      </c>
      <c r="C135" s="658">
        <f>IF(D93="","-",+C134+1)</f>
        <v>2058</v>
      </c>
      <c r="D135" s="659">
        <f>IF(F134+SUM(E$99:E134)=D$92,F134,D$92-SUM(E$99:E134))</f>
        <v>6327.5899999999965</v>
      </c>
      <c r="E135" s="482">
        <f t="shared" si="16"/>
        <v>901</v>
      </c>
      <c r="F135" s="660">
        <f t="shared" si="17"/>
        <v>5426.5899999999965</v>
      </c>
      <c r="G135" s="660">
        <f t="shared" si="18"/>
        <v>5877.0899999999965</v>
      </c>
      <c r="H135" s="696">
        <f t="shared" si="12"/>
        <v>1534.6163946213412</v>
      </c>
      <c r="I135" s="697">
        <f t="shared" si="13"/>
        <v>1534.6163946213412</v>
      </c>
      <c r="J135" s="665">
        <f t="shared" si="19"/>
        <v>0</v>
      </c>
      <c r="K135" s="665"/>
      <c r="L135" s="132"/>
      <c r="M135" s="665">
        <f t="shared" si="20"/>
        <v>0</v>
      </c>
      <c r="N135" s="132"/>
      <c r="O135" s="665">
        <f t="shared" si="21"/>
        <v>0</v>
      </c>
      <c r="P135" s="665">
        <f t="shared" si="22"/>
        <v>0</v>
      </c>
    </row>
    <row r="136" spans="2:16">
      <c r="B136" s="9" t="str">
        <f t="shared" si="15"/>
        <v/>
      </c>
      <c r="C136" s="658">
        <f>IF(D93="","-",+C135+1)</f>
        <v>2059</v>
      </c>
      <c r="D136" s="659">
        <f>IF(F135+SUM(E$99:E135)=D$92,F135,D$92-SUM(E$99:E135))</f>
        <v>5426.5899999999965</v>
      </c>
      <c r="E136" s="482">
        <f t="shared" si="16"/>
        <v>901</v>
      </c>
      <c r="F136" s="660">
        <f t="shared" si="17"/>
        <v>4525.5899999999965</v>
      </c>
      <c r="G136" s="660">
        <f t="shared" si="18"/>
        <v>4976.0899999999965</v>
      </c>
      <c r="H136" s="696">
        <f t="shared" si="12"/>
        <v>1437.4784621490073</v>
      </c>
      <c r="I136" s="697">
        <f t="shared" si="13"/>
        <v>1437.4784621490073</v>
      </c>
      <c r="J136" s="665">
        <f t="shared" si="19"/>
        <v>0</v>
      </c>
      <c r="K136" s="665"/>
      <c r="L136" s="132"/>
      <c r="M136" s="665">
        <f t="shared" si="20"/>
        <v>0</v>
      </c>
      <c r="N136" s="132"/>
      <c r="O136" s="665">
        <f t="shared" si="21"/>
        <v>0</v>
      </c>
      <c r="P136" s="665">
        <f t="shared" si="22"/>
        <v>0</v>
      </c>
    </row>
    <row r="137" spans="2:16">
      <c r="B137" s="9" t="str">
        <f t="shared" si="15"/>
        <v/>
      </c>
      <c r="C137" s="658">
        <f>IF(D93="","-",+C136+1)</f>
        <v>2060</v>
      </c>
      <c r="D137" s="659">
        <f>IF(F136+SUM(E$99:E136)=D$92,F136,D$92-SUM(E$99:E136))</f>
        <v>4525.5899999999965</v>
      </c>
      <c r="E137" s="482">
        <f t="shared" si="16"/>
        <v>901</v>
      </c>
      <c r="F137" s="660">
        <f t="shared" si="17"/>
        <v>3624.5899999999965</v>
      </c>
      <c r="G137" s="660">
        <f t="shared" si="18"/>
        <v>4075.0899999999965</v>
      </c>
      <c r="H137" s="696">
        <f t="shared" si="12"/>
        <v>1340.3405296766734</v>
      </c>
      <c r="I137" s="697">
        <f t="shared" si="13"/>
        <v>1340.3405296766734</v>
      </c>
      <c r="J137" s="665">
        <f t="shared" si="19"/>
        <v>0</v>
      </c>
      <c r="K137" s="665"/>
      <c r="L137" s="132"/>
      <c r="M137" s="665">
        <f t="shared" si="20"/>
        <v>0</v>
      </c>
      <c r="N137" s="132"/>
      <c r="O137" s="665">
        <f t="shared" si="21"/>
        <v>0</v>
      </c>
      <c r="P137" s="665">
        <f t="shared" si="22"/>
        <v>0</v>
      </c>
    </row>
    <row r="138" spans="2:16">
      <c r="B138" s="9" t="str">
        <f t="shared" si="15"/>
        <v/>
      </c>
      <c r="C138" s="658">
        <f>IF(D93="","-",+C137+1)</f>
        <v>2061</v>
      </c>
      <c r="D138" s="659">
        <f>IF(F137+SUM(E$99:E137)=D$92,F137,D$92-SUM(E$99:E137))</f>
        <v>3624.5899999999965</v>
      </c>
      <c r="E138" s="482">
        <f t="shared" si="16"/>
        <v>901</v>
      </c>
      <c r="F138" s="660">
        <f t="shared" si="17"/>
        <v>2723.5899999999965</v>
      </c>
      <c r="G138" s="660">
        <f t="shared" si="18"/>
        <v>3174.0899999999965</v>
      </c>
      <c r="H138" s="696">
        <f t="shared" si="12"/>
        <v>1243.2025972043396</v>
      </c>
      <c r="I138" s="697">
        <f t="shared" si="13"/>
        <v>1243.2025972043396</v>
      </c>
      <c r="J138" s="665">
        <f t="shared" si="19"/>
        <v>0</v>
      </c>
      <c r="K138" s="665"/>
      <c r="L138" s="132"/>
      <c r="M138" s="665">
        <f t="shared" si="20"/>
        <v>0</v>
      </c>
      <c r="N138" s="132"/>
      <c r="O138" s="665">
        <f t="shared" si="21"/>
        <v>0</v>
      </c>
      <c r="P138" s="665">
        <f t="shared" si="22"/>
        <v>0</v>
      </c>
    </row>
    <row r="139" spans="2:16">
      <c r="B139" s="9" t="str">
        <f t="shared" si="15"/>
        <v/>
      </c>
      <c r="C139" s="658">
        <f>IF(D93="","-",+C138+1)</f>
        <v>2062</v>
      </c>
      <c r="D139" s="659">
        <f>IF(F138+SUM(E$99:E138)=D$92,F138,D$92-SUM(E$99:E138))</f>
        <v>2723.5899999999965</v>
      </c>
      <c r="E139" s="482">
        <f t="shared" si="16"/>
        <v>901</v>
      </c>
      <c r="F139" s="660">
        <f t="shared" si="17"/>
        <v>1822.5899999999965</v>
      </c>
      <c r="G139" s="660">
        <f t="shared" si="18"/>
        <v>2273.0899999999965</v>
      </c>
      <c r="H139" s="696">
        <f t="shared" si="12"/>
        <v>1146.0646647320057</v>
      </c>
      <c r="I139" s="697">
        <f t="shared" si="13"/>
        <v>1146.0646647320057</v>
      </c>
      <c r="J139" s="665">
        <f t="shared" si="19"/>
        <v>0</v>
      </c>
      <c r="K139" s="665"/>
      <c r="L139" s="132"/>
      <c r="M139" s="665">
        <f t="shared" si="20"/>
        <v>0</v>
      </c>
      <c r="N139" s="132"/>
      <c r="O139" s="665">
        <f t="shared" si="21"/>
        <v>0</v>
      </c>
      <c r="P139" s="665">
        <f t="shared" si="22"/>
        <v>0</v>
      </c>
    </row>
    <row r="140" spans="2:16">
      <c r="B140" s="9" t="str">
        <f t="shared" si="15"/>
        <v/>
      </c>
      <c r="C140" s="658">
        <f>IF(D93="","-",+C139+1)</f>
        <v>2063</v>
      </c>
      <c r="D140" s="659">
        <f>IF(F139+SUM(E$99:E139)=D$92,F139,D$92-SUM(E$99:E139))</f>
        <v>1822.5899999999965</v>
      </c>
      <c r="E140" s="482">
        <f t="shared" si="16"/>
        <v>901</v>
      </c>
      <c r="F140" s="660">
        <f t="shared" si="17"/>
        <v>921.58999999999651</v>
      </c>
      <c r="G140" s="660">
        <f t="shared" si="18"/>
        <v>1372.0899999999965</v>
      </c>
      <c r="H140" s="696">
        <f t="shared" si="12"/>
        <v>1048.9267322596718</v>
      </c>
      <c r="I140" s="697">
        <f t="shared" si="13"/>
        <v>1048.9267322596718</v>
      </c>
      <c r="J140" s="665">
        <f t="shared" si="19"/>
        <v>0</v>
      </c>
      <c r="K140" s="665"/>
      <c r="L140" s="132"/>
      <c r="M140" s="665">
        <f t="shared" si="20"/>
        <v>0</v>
      </c>
      <c r="N140" s="132"/>
      <c r="O140" s="665">
        <f t="shared" si="21"/>
        <v>0</v>
      </c>
      <c r="P140" s="665">
        <f t="shared" si="22"/>
        <v>0</v>
      </c>
    </row>
    <row r="141" spans="2:16">
      <c r="B141" s="9" t="str">
        <f t="shared" si="15"/>
        <v/>
      </c>
      <c r="C141" s="658">
        <f>IF(D93="","-",+C140+1)</f>
        <v>2064</v>
      </c>
      <c r="D141" s="659">
        <f>IF(F140+SUM(E$99:E140)=D$92,F140,D$92-SUM(E$99:E140))</f>
        <v>921.58999999999651</v>
      </c>
      <c r="E141" s="482">
        <f t="shared" si="16"/>
        <v>901</v>
      </c>
      <c r="F141" s="660">
        <f t="shared" si="17"/>
        <v>20.589999999996508</v>
      </c>
      <c r="G141" s="660">
        <f t="shared" si="18"/>
        <v>471.08999999999651</v>
      </c>
      <c r="H141" s="696">
        <f t="shared" si="12"/>
        <v>951.78879978733789</v>
      </c>
      <c r="I141" s="697">
        <f t="shared" si="13"/>
        <v>951.78879978733789</v>
      </c>
      <c r="J141" s="665">
        <f t="shared" si="19"/>
        <v>0</v>
      </c>
      <c r="K141" s="665"/>
      <c r="L141" s="132"/>
      <c r="M141" s="665">
        <f t="shared" si="20"/>
        <v>0</v>
      </c>
      <c r="N141" s="132"/>
      <c r="O141" s="665">
        <f t="shared" si="21"/>
        <v>0</v>
      </c>
      <c r="P141" s="665">
        <f t="shared" si="22"/>
        <v>0</v>
      </c>
    </row>
    <row r="142" spans="2:16">
      <c r="B142" s="9" t="str">
        <f t="shared" si="15"/>
        <v/>
      </c>
      <c r="C142" s="658">
        <f>IF(D93="","-",+C141+1)</f>
        <v>2065</v>
      </c>
      <c r="D142" s="659">
        <f>IF(F141+SUM(E$99:E141)=D$92,F141,D$92-SUM(E$99:E141))</f>
        <v>20.589999999996508</v>
      </c>
      <c r="E142" s="482">
        <f t="shared" si="16"/>
        <v>20.589999999996508</v>
      </c>
      <c r="F142" s="660">
        <f t="shared" si="17"/>
        <v>0</v>
      </c>
      <c r="G142" s="660">
        <f t="shared" si="18"/>
        <v>10.294999999998254</v>
      </c>
      <c r="H142" s="696">
        <f t="shared" si="12"/>
        <v>21.699916775581976</v>
      </c>
      <c r="I142" s="697">
        <f t="shared" si="13"/>
        <v>21.699916775581976</v>
      </c>
      <c r="J142" s="665">
        <f t="shared" si="19"/>
        <v>0</v>
      </c>
      <c r="K142" s="665"/>
      <c r="L142" s="132"/>
      <c r="M142" s="665">
        <f t="shared" si="20"/>
        <v>0</v>
      </c>
      <c r="N142" s="132"/>
      <c r="O142" s="665">
        <f t="shared" si="21"/>
        <v>0</v>
      </c>
      <c r="P142" s="665">
        <f t="shared" si="22"/>
        <v>0</v>
      </c>
    </row>
    <row r="143" spans="2:16">
      <c r="B143" s="9" t="str">
        <f t="shared" si="15"/>
        <v/>
      </c>
      <c r="C143" s="658">
        <f>IF(D93="","-",+C142+1)</f>
        <v>2066</v>
      </c>
      <c r="D143" s="659">
        <f>IF(F142+SUM(E$99:E142)=D$92,F142,D$92-SUM(E$99:E142))</f>
        <v>0</v>
      </c>
      <c r="E143" s="482">
        <f t="shared" si="16"/>
        <v>0</v>
      </c>
      <c r="F143" s="660">
        <f t="shared" si="17"/>
        <v>0</v>
      </c>
      <c r="G143" s="660">
        <f t="shared" si="18"/>
        <v>0</v>
      </c>
      <c r="H143" s="696">
        <f t="shared" si="12"/>
        <v>0</v>
      </c>
      <c r="I143" s="697">
        <f t="shared" si="13"/>
        <v>0</v>
      </c>
      <c r="J143" s="665">
        <f t="shared" si="19"/>
        <v>0</v>
      </c>
      <c r="K143" s="665"/>
      <c r="L143" s="132"/>
      <c r="M143" s="665">
        <f t="shared" si="20"/>
        <v>0</v>
      </c>
      <c r="N143" s="132"/>
      <c r="O143" s="665">
        <f t="shared" si="21"/>
        <v>0</v>
      </c>
      <c r="P143" s="665">
        <f t="shared" si="22"/>
        <v>0</v>
      </c>
    </row>
    <row r="144" spans="2:16">
      <c r="B144" s="9" t="str">
        <f t="shared" si="15"/>
        <v/>
      </c>
      <c r="C144" s="658">
        <f>IF(D93="","-",+C143+1)</f>
        <v>2067</v>
      </c>
      <c r="D144" s="659">
        <f>IF(F143+SUM(E$99:E143)=D$92,F143,D$92-SUM(E$99:E143))</f>
        <v>0</v>
      </c>
      <c r="E144" s="482">
        <f t="shared" si="16"/>
        <v>0</v>
      </c>
      <c r="F144" s="660">
        <f t="shared" si="17"/>
        <v>0</v>
      </c>
      <c r="G144" s="660">
        <f t="shared" si="18"/>
        <v>0</v>
      </c>
      <c r="H144" s="696">
        <f t="shared" si="12"/>
        <v>0</v>
      </c>
      <c r="I144" s="697">
        <f t="shared" si="13"/>
        <v>0</v>
      </c>
      <c r="J144" s="665">
        <f t="shared" si="19"/>
        <v>0</v>
      </c>
      <c r="K144" s="665"/>
      <c r="L144" s="132"/>
      <c r="M144" s="665">
        <f t="shared" si="20"/>
        <v>0</v>
      </c>
      <c r="N144" s="132"/>
      <c r="O144" s="665">
        <f t="shared" si="21"/>
        <v>0</v>
      </c>
      <c r="P144" s="665">
        <f t="shared" si="22"/>
        <v>0</v>
      </c>
    </row>
    <row r="145" spans="2:16">
      <c r="B145" s="9" t="str">
        <f t="shared" si="15"/>
        <v/>
      </c>
      <c r="C145" s="658">
        <f>IF(D93="","-",+C144+1)</f>
        <v>2068</v>
      </c>
      <c r="D145" s="659">
        <f>IF(F144+SUM(E$99:E144)=D$92,F144,D$92-SUM(E$99:E144))</f>
        <v>0</v>
      </c>
      <c r="E145" s="482">
        <f t="shared" si="16"/>
        <v>0</v>
      </c>
      <c r="F145" s="660">
        <f t="shared" si="17"/>
        <v>0</v>
      </c>
      <c r="G145" s="660">
        <f t="shared" si="18"/>
        <v>0</v>
      </c>
      <c r="H145" s="696">
        <f t="shared" si="12"/>
        <v>0</v>
      </c>
      <c r="I145" s="697">
        <f t="shared" si="13"/>
        <v>0</v>
      </c>
      <c r="J145" s="665">
        <f t="shared" si="19"/>
        <v>0</v>
      </c>
      <c r="K145" s="665"/>
      <c r="L145" s="132"/>
      <c r="M145" s="665">
        <f t="shared" si="20"/>
        <v>0</v>
      </c>
      <c r="N145" s="132"/>
      <c r="O145" s="665">
        <f t="shared" si="21"/>
        <v>0</v>
      </c>
      <c r="P145" s="665">
        <f t="shared" si="22"/>
        <v>0</v>
      </c>
    </row>
    <row r="146" spans="2:16">
      <c r="B146" s="9" t="str">
        <f t="shared" si="15"/>
        <v/>
      </c>
      <c r="C146" s="658">
        <f>IF(D93="","-",+C145+1)</f>
        <v>2069</v>
      </c>
      <c r="D146" s="659">
        <f>IF(F145+SUM(E$99:E145)=D$92,F145,D$92-SUM(E$99:E145))</f>
        <v>0</v>
      </c>
      <c r="E146" s="482">
        <f t="shared" si="16"/>
        <v>0</v>
      </c>
      <c r="F146" s="660">
        <f t="shared" si="17"/>
        <v>0</v>
      </c>
      <c r="G146" s="660">
        <f t="shared" si="18"/>
        <v>0</v>
      </c>
      <c r="H146" s="696">
        <f t="shared" si="12"/>
        <v>0</v>
      </c>
      <c r="I146" s="697">
        <f t="shared" si="13"/>
        <v>0</v>
      </c>
      <c r="J146" s="665">
        <f t="shared" si="19"/>
        <v>0</v>
      </c>
      <c r="K146" s="665"/>
      <c r="L146" s="132"/>
      <c r="M146" s="665">
        <f t="shared" si="20"/>
        <v>0</v>
      </c>
      <c r="N146" s="132"/>
      <c r="O146" s="665">
        <f t="shared" si="21"/>
        <v>0</v>
      </c>
      <c r="P146" s="665">
        <f t="shared" si="22"/>
        <v>0</v>
      </c>
    </row>
    <row r="147" spans="2:16">
      <c r="B147" s="9" t="str">
        <f t="shared" si="15"/>
        <v/>
      </c>
      <c r="C147" s="658">
        <f>IF(D93="","-",+C146+1)</f>
        <v>2070</v>
      </c>
      <c r="D147" s="659">
        <f>IF(F146+SUM(E$99:E146)=D$92,F146,D$92-SUM(E$99:E146))</f>
        <v>0</v>
      </c>
      <c r="E147" s="482">
        <f t="shared" si="16"/>
        <v>0</v>
      </c>
      <c r="F147" s="660">
        <f t="shared" si="17"/>
        <v>0</v>
      </c>
      <c r="G147" s="660">
        <f t="shared" si="18"/>
        <v>0</v>
      </c>
      <c r="H147" s="696">
        <f t="shared" si="12"/>
        <v>0</v>
      </c>
      <c r="I147" s="697">
        <f t="shared" si="13"/>
        <v>0</v>
      </c>
      <c r="J147" s="665">
        <f t="shared" si="19"/>
        <v>0</v>
      </c>
      <c r="K147" s="665"/>
      <c r="L147" s="132"/>
      <c r="M147" s="665">
        <f t="shared" si="20"/>
        <v>0</v>
      </c>
      <c r="N147" s="132"/>
      <c r="O147" s="665">
        <f t="shared" si="21"/>
        <v>0</v>
      </c>
      <c r="P147" s="665">
        <f t="shared" si="22"/>
        <v>0</v>
      </c>
    </row>
    <row r="148" spans="2:16">
      <c r="B148" s="9" t="str">
        <f t="shared" si="15"/>
        <v/>
      </c>
      <c r="C148" s="658">
        <f>IF(D93="","-",+C147+1)</f>
        <v>2071</v>
      </c>
      <c r="D148" s="659">
        <f>IF(F147+SUM(E$99:E147)=D$92,F147,D$92-SUM(E$99:E147))</f>
        <v>0</v>
      </c>
      <c r="E148" s="482">
        <f t="shared" si="16"/>
        <v>0</v>
      </c>
      <c r="F148" s="660">
        <f t="shared" si="17"/>
        <v>0</v>
      </c>
      <c r="G148" s="660">
        <f t="shared" si="18"/>
        <v>0</v>
      </c>
      <c r="H148" s="696">
        <f t="shared" si="12"/>
        <v>0</v>
      </c>
      <c r="I148" s="697">
        <f t="shared" si="13"/>
        <v>0</v>
      </c>
      <c r="J148" s="665">
        <f t="shared" si="19"/>
        <v>0</v>
      </c>
      <c r="K148" s="665"/>
      <c r="L148" s="132"/>
      <c r="M148" s="665">
        <f t="shared" si="20"/>
        <v>0</v>
      </c>
      <c r="N148" s="132"/>
      <c r="O148" s="665">
        <f t="shared" si="21"/>
        <v>0</v>
      </c>
      <c r="P148" s="665">
        <f t="shared" si="22"/>
        <v>0</v>
      </c>
    </row>
    <row r="149" spans="2:16">
      <c r="B149" s="9" t="str">
        <f t="shared" si="15"/>
        <v/>
      </c>
      <c r="C149" s="658">
        <f>IF(D93="","-",+C148+1)</f>
        <v>2072</v>
      </c>
      <c r="D149" s="659">
        <f>IF(F148+SUM(E$99:E148)=D$92,F148,D$92-SUM(E$99:E148))</f>
        <v>0</v>
      </c>
      <c r="E149" s="482">
        <f t="shared" si="16"/>
        <v>0</v>
      </c>
      <c r="F149" s="660">
        <f t="shared" si="17"/>
        <v>0</v>
      </c>
      <c r="G149" s="660">
        <f t="shared" si="18"/>
        <v>0</v>
      </c>
      <c r="H149" s="696">
        <f t="shared" si="12"/>
        <v>0</v>
      </c>
      <c r="I149" s="697">
        <f t="shared" si="13"/>
        <v>0</v>
      </c>
      <c r="J149" s="665">
        <f t="shared" si="19"/>
        <v>0</v>
      </c>
      <c r="K149" s="665"/>
      <c r="L149" s="132"/>
      <c r="M149" s="665">
        <f t="shared" si="20"/>
        <v>0</v>
      </c>
      <c r="N149" s="132"/>
      <c r="O149" s="665">
        <f t="shared" si="21"/>
        <v>0</v>
      </c>
      <c r="P149" s="665">
        <f t="shared" si="22"/>
        <v>0</v>
      </c>
    </row>
    <row r="150" spans="2:16">
      <c r="B150" s="9" t="str">
        <f t="shared" si="15"/>
        <v/>
      </c>
      <c r="C150" s="658">
        <f>IF(D93="","-",+C149+1)</f>
        <v>2073</v>
      </c>
      <c r="D150" s="659">
        <f>IF(F149+SUM(E$99:E149)=D$92,F149,D$92-SUM(E$99:E149))</f>
        <v>0</v>
      </c>
      <c r="E150" s="482">
        <f t="shared" si="16"/>
        <v>0</v>
      </c>
      <c r="F150" s="660">
        <f t="shared" si="17"/>
        <v>0</v>
      </c>
      <c r="G150" s="660">
        <f t="shared" si="18"/>
        <v>0</v>
      </c>
      <c r="H150" s="696">
        <f t="shared" si="12"/>
        <v>0</v>
      </c>
      <c r="I150" s="697">
        <f t="shared" si="13"/>
        <v>0</v>
      </c>
      <c r="J150" s="665">
        <f t="shared" si="19"/>
        <v>0</v>
      </c>
      <c r="K150" s="665"/>
      <c r="L150" s="132"/>
      <c r="M150" s="665">
        <f t="shared" si="20"/>
        <v>0</v>
      </c>
      <c r="N150" s="132"/>
      <c r="O150" s="665">
        <f t="shared" si="21"/>
        <v>0</v>
      </c>
      <c r="P150" s="665">
        <f t="shared" si="22"/>
        <v>0</v>
      </c>
    </row>
    <row r="151" spans="2:16">
      <c r="B151" s="9" t="str">
        <f t="shared" si="15"/>
        <v/>
      </c>
      <c r="C151" s="658">
        <f>IF(D93="","-",+C150+1)</f>
        <v>2074</v>
      </c>
      <c r="D151" s="659">
        <f>IF(F150+SUM(E$99:E150)=D$92,F150,D$92-SUM(E$99:E150))</f>
        <v>0</v>
      </c>
      <c r="E151" s="482">
        <f t="shared" si="16"/>
        <v>0</v>
      </c>
      <c r="F151" s="660">
        <f t="shared" si="17"/>
        <v>0</v>
      </c>
      <c r="G151" s="660">
        <f t="shared" si="18"/>
        <v>0</v>
      </c>
      <c r="H151" s="696">
        <f t="shared" si="12"/>
        <v>0</v>
      </c>
      <c r="I151" s="697">
        <f t="shared" si="13"/>
        <v>0</v>
      </c>
      <c r="J151" s="665">
        <f t="shared" si="19"/>
        <v>0</v>
      </c>
      <c r="K151" s="665"/>
      <c r="L151" s="132"/>
      <c r="M151" s="665">
        <f t="shared" si="20"/>
        <v>0</v>
      </c>
      <c r="N151" s="132"/>
      <c r="O151" s="665">
        <f t="shared" si="21"/>
        <v>0</v>
      </c>
      <c r="P151" s="665">
        <f t="shared" si="22"/>
        <v>0</v>
      </c>
    </row>
    <row r="152" spans="2:16">
      <c r="B152" s="9" t="str">
        <f t="shared" si="15"/>
        <v/>
      </c>
      <c r="C152" s="658">
        <f>IF(D93="","-",+C151+1)</f>
        <v>2075</v>
      </c>
      <c r="D152" s="659">
        <f>IF(F151+SUM(E$99:E151)=D$92,F151,D$92-SUM(E$99:E151))</f>
        <v>0</v>
      </c>
      <c r="E152" s="482">
        <f t="shared" si="16"/>
        <v>0</v>
      </c>
      <c r="F152" s="660">
        <f t="shared" si="17"/>
        <v>0</v>
      </c>
      <c r="G152" s="660">
        <f t="shared" si="18"/>
        <v>0</v>
      </c>
      <c r="H152" s="696">
        <f t="shared" si="12"/>
        <v>0</v>
      </c>
      <c r="I152" s="697">
        <f t="shared" si="13"/>
        <v>0</v>
      </c>
      <c r="J152" s="665">
        <f t="shared" si="19"/>
        <v>0</v>
      </c>
      <c r="K152" s="665"/>
      <c r="L152" s="132"/>
      <c r="M152" s="665">
        <f t="shared" si="20"/>
        <v>0</v>
      </c>
      <c r="N152" s="132"/>
      <c r="O152" s="665">
        <f t="shared" si="21"/>
        <v>0</v>
      </c>
      <c r="P152" s="665">
        <f t="shared" si="22"/>
        <v>0</v>
      </c>
    </row>
    <row r="153" spans="2:16">
      <c r="B153" s="9" t="str">
        <f t="shared" si="15"/>
        <v/>
      </c>
      <c r="C153" s="658">
        <f>IF(D93="","-",+C152+1)</f>
        <v>2076</v>
      </c>
      <c r="D153" s="659">
        <f>IF(F152+SUM(E$99:E152)=D$92,F152,D$92-SUM(E$99:E152))</f>
        <v>0</v>
      </c>
      <c r="E153" s="482">
        <f t="shared" si="16"/>
        <v>0</v>
      </c>
      <c r="F153" s="660">
        <f t="shared" si="17"/>
        <v>0</v>
      </c>
      <c r="G153" s="660">
        <f t="shared" si="18"/>
        <v>0</v>
      </c>
      <c r="H153" s="696">
        <f t="shared" si="12"/>
        <v>0</v>
      </c>
      <c r="I153" s="697">
        <f t="shared" si="13"/>
        <v>0</v>
      </c>
      <c r="J153" s="665">
        <f t="shared" si="19"/>
        <v>0</v>
      </c>
      <c r="K153" s="665"/>
      <c r="L153" s="132"/>
      <c r="M153" s="665">
        <f t="shared" si="20"/>
        <v>0</v>
      </c>
      <c r="N153" s="132"/>
      <c r="O153" s="665">
        <f t="shared" si="21"/>
        <v>0</v>
      </c>
      <c r="P153" s="665">
        <f t="shared" si="22"/>
        <v>0</v>
      </c>
    </row>
    <row r="154" spans="2:16" ht="13" thickBot="1">
      <c r="B154" s="9" t="str">
        <f t="shared" si="15"/>
        <v/>
      </c>
      <c r="C154" s="667">
        <f>IF(D93="","-",+C153+1)</f>
        <v>2077</v>
      </c>
      <c r="D154" s="692">
        <f>IF(F153+SUM(E$99:E153)=D$92,F153,D$92-SUM(E$99:E153))</f>
        <v>0</v>
      </c>
      <c r="E154" s="489">
        <f t="shared" si="16"/>
        <v>0</v>
      </c>
      <c r="F154" s="668">
        <f t="shared" si="17"/>
        <v>0</v>
      </c>
      <c r="G154" s="668">
        <f t="shared" si="18"/>
        <v>0</v>
      </c>
      <c r="H154" s="610">
        <f t="shared" si="12"/>
        <v>0</v>
      </c>
      <c r="I154" s="611">
        <f t="shared" si="13"/>
        <v>0</v>
      </c>
      <c r="J154" s="671">
        <f t="shared" si="19"/>
        <v>0</v>
      </c>
      <c r="K154" s="665"/>
      <c r="L154" s="133"/>
      <c r="M154" s="671">
        <f t="shared" si="20"/>
        <v>0</v>
      </c>
      <c r="N154" s="133"/>
      <c r="O154" s="671">
        <f t="shared" si="21"/>
        <v>0</v>
      </c>
      <c r="P154" s="671">
        <f t="shared" si="22"/>
        <v>0</v>
      </c>
    </row>
    <row r="155" spans="2:16">
      <c r="C155" s="659" t="s">
        <v>77</v>
      </c>
      <c r="D155" s="638"/>
      <c r="E155" s="638">
        <f>SUM(E99:E154)</f>
        <v>37862.589999999997</v>
      </c>
      <c r="F155" s="638"/>
      <c r="G155" s="638"/>
      <c r="H155" s="638">
        <f>SUM(H99:H154)</f>
        <v>125327.92659740458</v>
      </c>
      <c r="I155" s="638">
        <f>SUM(I99:I154)</f>
        <v>125327.92659740458</v>
      </c>
      <c r="J155" s="638">
        <f>SUM(J99:J154)</f>
        <v>0</v>
      </c>
      <c r="K155" s="638"/>
      <c r="L155" s="638"/>
      <c r="M155" s="638"/>
      <c r="N155" s="638"/>
      <c r="O155" s="638"/>
      <c r="P155" s="631"/>
    </row>
    <row r="156" spans="2:16">
      <c r="C156" t="s">
        <v>100</v>
      </c>
      <c r="D156" s="632"/>
      <c r="E156" s="631"/>
      <c r="F156" s="631"/>
      <c r="G156" s="631"/>
      <c r="H156" s="631"/>
      <c r="I156" s="634"/>
      <c r="J156" s="634"/>
      <c r="K156" s="638"/>
      <c r="L156" s="634"/>
      <c r="M156" s="634"/>
      <c r="N156" s="634"/>
      <c r="O156" s="634"/>
      <c r="P156" s="631"/>
    </row>
    <row r="157" spans="2:16">
      <c r="C157" s="99"/>
      <c r="D157" s="632"/>
      <c r="E157" s="631"/>
      <c r="F157" s="631"/>
      <c r="G157" s="631"/>
      <c r="H157" s="631"/>
      <c r="I157" s="634"/>
      <c r="J157" s="634"/>
      <c r="K157" s="638"/>
      <c r="L157" s="634"/>
      <c r="M157" s="634"/>
      <c r="N157" s="634"/>
      <c r="O157" s="634"/>
      <c r="P157" s="631"/>
    </row>
    <row r="158" spans="2:16" ht="13">
      <c r="C158" s="115" t="s">
        <v>148</v>
      </c>
      <c r="D158" s="632"/>
      <c r="E158" s="631"/>
      <c r="F158" s="631"/>
      <c r="G158" s="631"/>
      <c r="H158" s="631"/>
      <c r="I158" s="634"/>
      <c r="J158" s="634"/>
      <c r="K158" s="638"/>
      <c r="L158" s="634"/>
      <c r="M158" s="634"/>
      <c r="N158" s="634"/>
      <c r="O158" s="634"/>
      <c r="P158" s="631"/>
    </row>
    <row r="159" spans="2:16" ht="13">
      <c r="C159" s="641" t="s">
        <v>78</v>
      </c>
      <c r="D159" s="659"/>
      <c r="E159" s="659"/>
      <c r="F159" s="659"/>
      <c r="G159" s="659"/>
      <c r="H159" s="638"/>
      <c r="I159" s="638"/>
      <c r="J159" s="672"/>
      <c r="K159" s="672"/>
      <c r="L159" s="672"/>
      <c r="M159" s="672"/>
      <c r="N159" s="672"/>
      <c r="O159" s="672"/>
      <c r="P159" s="631"/>
    </row>
    <row r="160" spans="2:16" ht="13">
      <c r="C160" s="693" t="s">
        <v>79</v>
      </c>
      <c r="D160" s="659"/>
      <c r="E160" s="659"/>
      <c r="F160" s="659"/>
      <c r="G160" s="659"/>
      <c r="H160" s="638"/>
      <c r="I160" s="638"/>
      <c r="J160" s="672"/>
      <c r="K160" s="672"/>
      <c r="L160" s="672"/>
      <c r="M160" s="672"/>
      <c r="N160" s="672"/>
      <c r="O160" s="672"/>
      <c r="P160" s="631"/>
    </row>
    <row r="161" spans="3:16" ht="13">
      <c r="C161" s="693"/>
      <c r="D161" s="659"/>
      <c r="E161" s="659"/>
      <c r="F161" s="659"/>
      <c r="G161" s="659"/>
      <c r="H161" s="638"/>
      <c r="I161" s="638"/>
      <c r="J161" s="672"/>
      <c r="K161" s="672"/>
      <c r="L161" s="672"/>
      <c r="M161" s="672"/>
      <c r="N161" s="672"/>
      <c r="O161" s="672"/>
      <c r="P161" s="631"/>
    </row>
    <row r="162" spans="3:16" ht="17.5">
      <c r="C162" s="693"/>
      <c r="D162" s="659"/>
      <c r="E162" s="659"/>
      <c r="F162" s="659"/>
      <c r="G162" s="659"/>
      <c r="H162" s="638"/>
      <c r="I162" s="638"/>
      <c r="J162" s="672"/>
      <c r="K162" s="672"/>
      <c r="L162" s="672"/>
      <c r="M162" s="672"/>
      <c r="N162" s="672"/>
      <c r="P162" s="694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4" header="0.25" footer="0.5"/>
  <pageSetup scale="47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4AAE-D46C-463D-AC52-DE26EE120341}">
  <dimension ref="A1:P162"/>
  <sheetViews>
    <sheetView zoomScale="80" zoomScaleNormal="80" workbookViewId="0">
      <selection activeCell="D92" sqref="D92"/>
    </sheetView>
  </sheetViews>
  <sheetFormatPr defaultColWidth="8.7265625" defaultRowHeight="12.5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631"/>
      <c r="C1" s="631"/>
      <c r="D1" s="632"/>
      <c r="E1" s="631"/>
      <c r="F1" s="633"/>
      <c r="G1" s="631"/>
      <c r="H1" s="634"/>
      <c r="K1" s="19"/>
      <c r="L1" s="19"/>
      <c r="M1" s="19"/>
      <c r="P1" s="635" t="s">
        <v>363</v>
      </c>
    </row>
    <row r="2" spans="1:16" ht="17.5">
      <c r="B2" s="631"/>
      <c r="C2" s="631"/>
      <c r="D2" s="632"/>
      <c r="E2" s="631"/>
      <c r="F2" s="631"/>
      <c r="G2" s="631"/>
      <c r="H2" s="634"/>
      <c r="I2" s="631"/>
      <c r="J2" s="631"/>
      <c r="K2" s="631"/>
      <c r="L2" s="631"/>
      <c r="M2" s="631"/>
      <c r="N2" s="631"/>
      <c r="P2" s="117" t="s">
        <v>150</v>
      </c>
    </row>
    <row r="3" spans="1:16" ht="18">
      <c r="B3" s="636" t="s">
        <v>42</v>
      </c>
      <c r="C3" s="637" t="s">
        <v>43</v>
      </c>
      <c r="D3" s="632"/>
      <c r="E3" s="631"/>
      <c r="F3" s="631"/>
      <c r="G3" s="631"/>
      <c r="H3" s="634"/>
      <c r="I3" s="634"/>
      <c r="J3" s="638"/>
      <c r="K3" s="634"/>
      <c r="L3" s="634"/>
      <c r="M3" s="634"/>
      <c r="N3" s="634"/>
      <c r="O3" s="631"/>
      <c r="P3" s="108">
        <v>1</v>
      </c>
    </row>
    <row r="4" spans="1:16" ht="16" thickBot="1">
      <c r="C4" s="639"/>
      <c r="D4" s="632"/>
      <c r="E4" s="631"/>
      <c r="F4" s="631"/>
      <c r="G4" s="631"/>
      <c r="H4" s="634"/>
      <c r="I4" s="634"/>
      <c r="J4" s="638"/>
      <c r="K4" s="634"/>
      <c r="L4" s="634"/>
      <c r="M4" s="634"/>
      <c r="N4" s="634"/>
      <c r="O4" s="631"/>
      <c r="P4" s="631"/>
    </row>
    <row r="5" spans="1:16" ht="15.5">
      <c r="C5" s="21" t="s">
        <v>44</v>
      </c>
      <c r="D5" s="632"/>
      <c r="E5" s="631"/>
      <c r="F5" s="631"/>
      <c r="G5" s="419"/>
      <c r="H5" s="631" t="s">
        <v>45</v>
      </c>
      <c r="I5" s="631"/>
      <c r="J5" s="631"/>
      <c r="K5" s="23" t="s">
        <v>279</v>
      </c>
      <c r="L5" s="24"/>
      <c r="M5" s="640"/>
      <c r="N5" s="423">
        <f>VLOOKUP(I10,C17:I72,5)</f>
        <v>267630.01874077739</v>
      </c>
      <c r="P5" s="631"/>
    </row>
    <row r="6" spans="1:16" ht="15.5">
      <c r="C6" s="8"/>
      <c r="D6" s="632"/>
      <c r="E6" s="631"/>
      <c r="F6" s="631"/>
      <c r="G6" s="631"/>
      <c r="H6" s="424"/>
      <c r="I6" s="424"/>
      <c r="J6" s="425"/>
      <c r="K6" s="29" t="s">
        <v>280</v>
      </c>
      <c r="L6" s="427"/>
      <c r="M6" s="631"/>
      <c r="N6" s="428">
        <f>VLOOKUP(I10,C17:I72,6)</f>
        <v>267630.01874077739</v>
      </c>
      <c r="O6" s="631"/>
      <c r="P6" s="631"/>
    </row>
    <row r="7" spans="1:16" ht="13.5" thickBot="1">
      <c r="C7" s="641" t="s">
        <v>46</v>
      </c>
      <c r="D7" s="614" t="s">
        <v>336</v>
      </c>
      <c r="E7" s="631"/>
      <c r="F7" s="631"/>
      <c r="G7" s="631"/>
      <c r="H7" s="634"/>
      <c r="I7" s="634"/>
      <c r="J7" s="638"/>
      <c r="K7" s="431" t="s">
        <v>47</v>
      </c>
      <c r="L7" s="642"/>
      <c r="M7" s="642"/>
      <c r="N7" s="643">
        <f>+N6-N5</f>
        <v>0</v>
      </c>
      <c r="O7" s="631"/>
      <c r="P7" s="631"/>
    </row>
    <row r="8" spans="1:16" ht="13.5" thickBot="1">
      <c r="C8" s="644"/>
      <c r="D8" s="99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31"/>
    </row>
    <row r="9" spans="1:16" ht="13.5" thickBot="1">
      <c r="C9" s="646" t="s">
        <v>48</v>
      </c>
      <c r="D9" s="106" t="s">
        <v>339</v>
      </c>
      <c r="E9" s="647" t="s">
        <v>337</v>
      </c>
      <c r="F9" s="648"/>
      <c r="G9" s="648"/>
      <c r="H9" s="648"/>
      <c r="I9" s="649"/>
      <c r="J9" s="650"/>
      <c r="P9" s="631"/>
    </row>
    <row r="10" spans="1:16" ht="13">
      <c r="C10" s="651" t="s">
        <v>226</v>
      </c>
      <c r="D10" s="445">
        <v>1822797</v>
      </c>
      <c r="E10" s="631" t="s">
        <v>51</v>
      </c>
      <c r="G10" s="632"/>
      <c r="H10" s="632"/>
      <c r="I10" s="652">
        <v>2022</v>
      </c>
      <c r="J10" s="650"/>
      <c r="K10" s="638" t="s">
        <v>52</v>
      </c>
      <c r="O10" s="631"/>
      <c r="P10" s="631"/>
    </row>
    <row r="11" spans="1:16">
      <c r="C11" s="653" t="s">
        <v>53</v>
      </c>
      <c r="D11" s="47">
        <v>2021</v>
      </c>
      <c r="E11" s="653" t="s">
        <v>54</v>
      </c>
      <c r="F11" s="632"/>
      <c r="I11" s="654">
        <v>0</v>
      </c>
      <c r="J11" s="655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631"/>
      <c r="P11" s="631"/>
    </row>
    <row r="12" spans="1:16">
      <c r="C12" s="653" t="s">
        <v>55</v>
      </c>
      <c r="D12" s="445">
        <v>11</v>
      </c>
      <c r="E12" s="653" t="s">
        <v>56</v>
      </c>
      <c r="F12" s="632"/>
      <c r="I12" s="656">
        <v>0.10781124580725182</v>
      </c>
      <c r="J12" s="633"/>
      <c r="K12" t="s">
        <v>57</v>
      </c>
      <c r="O12" s="631"/>
      <c r="P12" s="631"/>
    </row>
    <row r="13" spans="1:16">
      <c r="C13" s="653" t="s">
        <v>58</v>
      </c>
      <c r="D13" s="654">
        <v>42</v>
      </c>
      <c r="E13" s="653" t="s">
        <v>59</v>
      </c>
      <c r="F13" s="632"/>
      <c r="I13" s="656">
        <v>0.10781124580725182</v>
      </c>
      <c r="J13" s="633"/>
      <c r="K13" s="638" t="s">
        <v>60</v>
      </c>
      <c r="L13" s="633"/>
      <c r="M13" s="633"/>
      <c r="N13" s="633"/>
      <c r="O13" s="631"/>
      <c r="P13" s="631"/>
    </row>
    <row r="14" spans="1:16" ht="13" thickBot="1">
      <c r="C14" s="653" t="s">
        <v>61</v>
      </c>
      <c r="D14" s="47" t="s">
        <v>62</v>
      </c>
      <c r="E14" s="631" t="s">
        <v>63</v>
      </c>
      <c r="F14" s="632"/>
      <c r="I14" s="657">
        <f>IF(D10=0,0,D10/D13)</f>
        <v>43399.928571428572</v>
      </c>
      <c r="J14" s="638"/>
      <c r="K14" s="638"/>
      <c r="L14" s="638"/>
      <c r="M14" s="638"/>
      <c r="N14" s="638"/>
      <c r="O14" s="631"/>
      <c r="P14" s="631"/>
    </row>
    <row r="15" spans="1:16" ht="39">
      <c r="C15" s="53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53" t="s">
        <v>67</v>
      </c>
      <c r="J15" s="55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631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463" t="s">
        <v>73</v>
      </c>
      <c r="H16" s="464" t="s">
        <v>74</v>
      </c>
      <c r="I16" s="57" t="s">
        <v>104</v>
      </c>
      <c r="J16" s="55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631"/>
    </row>
    <row r="17" spans="2:16" ht="13" thickBot="1">
      <c r="B17" s="9"/>
      <c r="C17" s="658">
        <f>IF(D11= "","-",D11)</f>
        <v>2021</v>
      </c>
      <c r="D17" s="618">
        <v>0</v>
      </c>
      <c r="E17" s="619">
        <v>0</v>
      </c>
      <c r="F17" s="620">
        <v>1613510.2261904762</v>
      </c>
      <c r="G17" s="619">
        <v>0</v>
      </c>
      <c r="H17" s="621">
        <v>0</v>
      </c>
      <c r="I17" s="662">
        <f>H17-G17</f>
        <v>0</v>
      </c>
      <c r="J17" s="662"/>
      <c r="K17" s="663">
        <f>+G17</f>
        <v>0</v>
      </c>
      <c r="L17" s="664">
        <f t="shared" ref="L17:L72" si="0">IF(K17&lt;&gt;0,+G17-K17,0)</f>
        <v>0</v>
      </c>
      <c r="M17" s="663">
        <f>+H17</f>
        <v>0</v>
      </c>
      <c r="N17" s="664">
        <f t="shared" ref="N17:N72" si="1">IF(M17&lt;&gt;0,+H17-M17,0)</f>
        <v>0</v>
      </c>
      <c r="O17" s="665">
        <f t="shared" ref="O17:O72" si="2">+N17-L17</f>
        <v>0</v>
      </c>
      <c r="P17" s="631"/>
    </row>
    <row r="18" spans="2:16" ht="13" thickBot="1">
      <c r="B18" s="9" t="str">
        <f>IF(D18=F17,"","IU")</f>
        <v>IU</v>
      </c>
      <c r="C18" s="658">
        <f>IF(D11="","-",+C17+1)</f>
        <v>2022</v>
      </c>
      <c r="D18" s="471">
        <v>1865411</v>
      </c>
      <c r="E18" s="478">
        <v>47831.051282051281</v>
      </c>
      <c r="F18" s="471">
        <v>1817579.9487179487</v>
      </c>
      <c r="G18" s="478">
        <v>267630.01874077739</v>
      </c>
      <c r="H18" s="479">
        <v>267630.01874077739</v>
      </c>
      <c r="I18" s="662">
        <f>H18-G18</f>
        <v>0</v>
      </c>
      <c r="J18" s="662"/>
      <c r="K18" s="663">
        <f>+G18</f>
        <v>267630.01874077739</v>
      </c>
      <c r="L18" s="664">
        <f t="shared" ref="L18" si="3">IF(K18&lt;&gt;0,+G18-K18,0)</f>
        <v>0</v>
      </c>
      <c r="M18" s="663">
        <f>+H18</f>
        <v>267630.01874077739</v>
      </c>
      <c r="N18" s="665">
        <f t="shared" si="1"/>
        <v>0</v>
      </c>
      <c r="O18" s="665">
        <f t="shared" si="2"/>
        <v>0</v>
      </c>
      <c r="P18" s="631"/>
    </row>
    <row r="19" spans="2:16">
      <c r="B19" s="9" t="str">
        <f>IF(D19=F18,"","IU")</f>
        <v/>
      </c>
      <c r="C19" s="658">
        <f>IF(D11="","-",+C18+1)</f>
        <v>2023</v>
      </c>
      <c r="D19" s="471">
        <v>1817579.9487179487</v>
      </c>
      <c r="E19" s="478">
        <v>47831.051282051281</v>
      </c>
      <c r="F19" s="471">
        <v>1769748.8974358975</v>
      </c>
      <c r="G19" s="478">
        <v>261920.95465094032</v>
      </c>
      <c r="H19" s="479">
        <v>261920.95465094032</v>
      </c>
      <c r="I19" s="662">
        <f t="shared" ref="I19:I71" si="4">H19-G19</f>
        <v>0</v>
      </c>
      <c r="J19" s="662"/>
      <c r="K19" s="663">
        <f>+G19</f>
        <v>261920.95465094032</v>
      </c>
      <c r="L19" s="664">
        <f t="shared" ref="L19" si="5">IF(K19&lt;&gt;0,+G19-K19,0)</f>
        <v>0</v>
      </c>
      <c r="M19" s="663">
        <f>+H19</f>
        <v>261920.95465094032</v>
      </c>
      <c r="N19" s="665">
        <f t="shared" si="1"/>
        <v>0</v>
      </c>
      <c r="O19" s="665">
        <f t="shared" si="2"/>
        <v>0</v>
      </c>
      <c r="P19" s="631"/>
    </row>
    <row r="20" spans="2:16">
      <c r="B20" s="9" t="str">
        <f t="shared" ref="B20:B72" si="6">IF(D20=F19,"","IU")</f>
        <v>IU</v>
      </c>
      <c r="C20" s="658">
        <f>IF(D11="","-",+C19+1)</f>
        <v>2024</v>
      </c>
      <c r="D20" s="660">
        <f>IF(F19+SUM(E$17:E19)=D$10,F19,D$10-SUM(E$17:E19))</f>
        <v>1727134.8974358975</v>
      </c>
      <c r="E20" s="69">
        <f t="shared" ref="E20:E71" si="7">IF(+I$14&lt;F19,I$14,D20)</f>
        <v>43399.928571428572</v>
      </c>
      <c r="F20" s="660">
        <f t="shared" ref="F20:F71" si="8">+D20-E20</f>
        <v>1683734.9688644689</v>
      </c>
      <c r="G20" s="666">
        <f t="shared" ref="G20:G71" si="9">(D20+F20)/2*I$12+E20</f>
        <v>227264.99335755705</v>
      </c>
      <c r="H20" s="661">
        <f t="shared" ref="H20:H71" si="10">+(D20+F20)/2*I$13+E20</f>
        <v>227264.99335755705</v>
      </c>
      <c r="I20" s="662">
        <f t="shared" si="4"/>
        <v>0</v>
      </c>
      <c r="J20" s="662"/>
      <c r="K20" s="132"/>
      <c r="L20" s="665">
        <f t="shared" si="0"/>
        <v>0</v>
      </c>
      <c r="M20" s="132"/>
      <c r="N20" s="665">
        <f t="shared" si="1"/>
        <v>0</v>
      </c>
      <c r="O20" s="665">
        <f t="shared" si="2"/>
        <v>0</v>
      </c>
      <c r="P20" s="631"/>
    </row>
    <row r="21" spans="2:16">
      <c r="B21" s="9" t="str">
        <f t="shared" si="6"/>
        <v/>
      </c>
      <c r="C21" s="658">
        <f>IF(D11="","-",+C20+1)</f>
        <v>2025</v>
      </c>
      <c r="D21" s="660">
        <f>IF(F20+SUM(E$17:E20)=D$10,F20,D$10-SUM(E$17:E20))</f>
        <v>1683734.9688644689</v>
      </c>
      <c r="E21" s="69">
        <f t="shared" si="7"/>
        <v>43399.928571428572</v>
      </c>
      <c r="F21" s="660">
        <f t="shared" si="8"/>
        <v>1640335.0402930402</v>
      </c>
      <c r="G21" s="666">
        <f t="shared" si="9"/>
        <v>222585.99299032558</v>
      </c>
      <c r="H21" s="661">
        <f t="shared" si="10"/>
        <v>222585.99299032558</v>
      </c>
      <c r="I21" s="662">
        <f t="shared" si="4"/>
        <v>0</v>
      </c>
      <c r="J21" s="662"/>
      <c r="K21" s="132"/>
      <c r="L21" s="665">
        <f t="shared" si="0"/>
        <v>0</v>
      </c>
      <c r="M21" s="132"/>
      <c r="N21" s="665">
        <f t="shared" si="1"/>
        <v>0</v>
      </c>
      <c r="O21" s="665">
        <f t="shared" si="2"/>
        <v>0</v>
      </c>
      <c r="P21" s="631"/>
    </row>
    <row r="22" spans="2:16">
      <c r="B22" s="9" t="str">
        <f t="shared" si="6"/>
        <v/>
      </c>
      <c r="C22" s="658">
        <f>IF(D11="","-",+C21+1)</f>
        <v>2026</v>
      </c>
      <c r="D22" s="660">
        <f>IF(F21+SUM(E$17:E21)=D$10,F21,D$10-SUM(E$17:E21))</f>
        <v>1640335.0402930402</v>
      </c>
      <c r="E22" s="69">
        <f t="shared" si="7"/>
        <v>43399.928571428572</v>
      </c>
      <c r="F22" s="660">
        <f t="shared" si="8"/>
        <v>1596935.1117216116</v>
      </c>
      <c r="G22" s="666">
        <f t="shared" si="9"/>
        <v>217906.99262309412</v>
      </c>
      <c r="H22" s="661">
        <f t="shared" si="10"/>
        <v>217906.99262309412</v>
      </c>
      <c r="I22" s="662">
        <f t="shared" si="4"/>
        <v>0</v>
      </c>
      <c r="J22" s="662"/>
      <c r="K22" s="132"/>
      <c r="L22" s="665">
        <f t="shared" si="0"/>
        <v>0</v>
      </c>
      <c r="M22" s="132"/>
      <c r="N22" s="665">
        <f t="shared" si="1"/>
        <v>0</v>
      </c>
      <c r="O22" s="665">
        <f t="shared" si="2"/>
        <v>0</v>
      </c>
      <c r="P22" s="631"/>
    </row>
    <row r="23" spans="2:16">
      <c r="B23" s="9" t="str">
        <f t="shared" si="6"/>
        <v/>
      </c>
      <c r="C23" s="658">
        <f>IF(D11="","-",+C22+1)</f>
        <v>2027</v>
      </c>
      <c r="D23" s="660">
        <f>IF(F22+SUM(E$17:E22)=D$10,F22,D$10-SUM(E$17:E22))</f>
        <v>1596935.1117216116</v>
      </c>
      <c r="E23" s="69">
        <f t="shared" si="7"/>
        <v>43399.928571428572</v>
      </c>
      <c r="F23" s="660">
        <f t="shared" si="8"/>
        <v>1553535.1831501829</v>
      </c>
      <c r="G23" s="666">
        <f t="shared" si="9"/>
        <v>213227.99225586266</v>
      </c>
      <c r="H23" s="661">
        <f t="shared" si="10"/>
        <v>213227.99225586266</v>
      </c>
      <c r="I23" s="662">
        <f t="shared" si="4"/>
        <v>0</v>
      </c>
      <c r="J23" s="662"/>
      <c r="K23" s="132"/>
      <c r="L23" s="665">
        <f t="shared" si="0"/>
        <v>0</v>
      </c>
      <c r="M23" s="132"/>
      <c r="N23" s="665">
        <f t="shared" si="1"/>
        <v>0</v>
      </c>
      <c r="O23" s="665">
        <f t="shared" si="2"/>
        <v>0</v>
      </c>
      <c r="P23" s="631"/>
    </row>
    <row r="24" spans="2:16">
      <c r="B24" s="9" t="str">
        <f t="shared" si="6"/>
        <v/>
      </c>
      <c r="C24" s="658">
        <f>IF(D11="","-",+C23+1)</f>
        <v>2028</v>
      </c>
      <c r="D24" s="660">
        <f>IF(F23+SUM(E$17:E23)=D$10,F23,D$10-SUM(E$17:E23))</f>
        <v>1553535.1831501829</v>
      </c>
      <c r="E24" s="69">
        <f t="shared" si="7"/>
        <v>43399.928571428572</v>
      </c>
      <c r="F24" s="660">
        <f t="shared" si="8"/>
        <v>1510135.2545787543</v>
      </c>
      <c r="G24" s="666">
        <f t="shared" si="9"/>
        <v>208548.99188863119</v>
      </c>
      <c r="H24" s="661">
        <f t="shared" si="10"/>
        <v>208548.99188863119</v>
      </c>
      <c r="I24" s="662">
        <f t="shared" si="4"/>
        <v>0</v>
      </c>
      <c r="J24" s="662"/>
      <c r="K24" s="132"/>
      <c r="L24" s="665">
        <f t="shared" si="0"/>
        <v>0</v>
      </c>
      <c r="M24" s="132"/>
      <c r="N24" s="665">
        <f t="shared" si="1"/>
        <v>0</v>
      </c>
      <c r="O24" s="665">
        <f t="shared" si="2"/>
        <v>0</v>
      </c>
      <c r="P24" s="631"/>
    </row>
    <row r="25" spans="2:16">
      <c r="B25" s="9" t="str">
        <f t="shared" si="6"/>
        <v/>
      </c>
      <c r="C25" s="658">
        <f>IF(D11="","-",+C24+1)</f>
        <v>2029</v>
      </c>
      <c r="D25" s="660">
        <f>IF(F24+SUM(E$17:E24)=D$10,F24,D$10-SUM(E$17:E24))</f>
        <v>1510135.2545787543</v>
      </c>
      <c r="E25" s="69">
        <f t="shared" si="7"/>
        <v>43399.928571428572</v>
      </c>
      <c r="F25" s="660">
        <f t="shared" si="8"/>
        <v>1466735.3260073257</v>
      </c>
      <c r="G25" s="666">
        <f t="shared" si="9"/>
        <v>203869.99152139973</v>
      </c>
      <c r="H25" s="661">
        <f t="shared" si="10"/>
        <v>203869.99152139973</v>
      </c>
      <c r="I25" s="662">
        <f t="shared" si="4"/>
        <v>0</v>
      </c>
      <c r="J25" s="662"/>
      <c r="K25" s="132"/>
      <c r="L25" s="665">
        <f t="shared" si="0"/>
        <v>0</v>
      </c>
      <c r="M25" s="132"/>
      <c r="N25" s="665">
        <f t="shared" si="1"/>
        <v>0</v>
      </c>
      <c r="O25" s="665">
        <f t="shared" si="2"/>
        <v>0</v>
      </c>
      <c r="P25" s="631"/>
    </row>
    <row r="26" spans="2:16">
      <c r="B26" s="9" t="str">
        <f t="shared" si="6"/>
        <v/>
      </c>
      <c r="C26" s="658">
        <f>IF(D11="","-",+C25+1)</f>
        <v>2030</v>
      </c>
      <c r="D26" s="660">
        <f>IF(F25+SUM(E$17:E25)=D$10,F25,D$10-SUM(E$17:E25))</f>
        <v>1466735.3260073257</v>
      </c>
      <c r="E26" s="69">
        <f t="shared" si="7"/>
        <v>43399.928571428572</v>
      </c>
      <c r="F26" s="660">
        <f t="shared" si="8"/>
        <v>1423335.397435897</v>
      </c>
      <c r="G26" s="666">
        <f t="shared" si="9"/>
        <v>199190.99115416827</v>
      </c>
      <c r="H26" s="661">
        <f t="shared" si="10"/>
        <v>199190.99115416827</v>
      </c>
      <c r="I26" s="662">
        <f t="shared" si="4"/>
        <v>0</v>
      </c>
      <c r="J26" s="662"/>
      <c r="K26" s="132"/>
      <c r="L26" s="665">
        <f t="shared" si="0"/>
        <v>0</v>
      </c>
      <c r="M26" s="132"/>
      <c r="N26" s="665">
        <f t="shared" si="1"/>
        <v>0</v>
      </c>
      <c r="O26" s="665">
        <f t="shared" si="2"/>
        <v>0</v>
      </c>
      <c r="P26" s="631"/>
    </row>
    <row r="27" spans="2:16">
      <c r="B27" s="9" t="str">
        <f t="shared" si="6"/>
        <v/>
      </c>
      <c r="C27" s="658">
        <f>IF(D11="","-",+C26+1)</f>
        <v>2031</v>
      </c>
      <c r="D27" s="660">
        <f>IF(F26+SUM(E$17:E26)=D$10,F26,D$10-SUM(E$17:E26))</f>
        <v>1423335.397435897</v>
      </c>
      <c r="E27" s="69">
        <f t="shared" si="7"/>
        <v>43399.928571428572</v>
      </c>
      <c r="F27" s="660">
        <f t="shared" si="8"/>
        <v>1379935.4688644684</v>
      </c>
      <c r="G27" s="666">
        <f t="shared" si="9"/>
        <v>194511.9907869368</v>
      </c>
      <c r="H27" s="661">
        <f t="shared" si="10"/>
        <v>194511.9907869368</v>
      </c>
      <c r="I27" s="662">
        <f t="shared" si="4"/>
        <v>0</v>
      </c>
      <c r="J27" s="662"/>
      <c r="K27" s="132"/>
      <c r="L27" s="665">
        <f t="shared" si="0"/>
        <v>0</v>
      </c>
      <c r="M27" s="132"/>
      <c r="N27" s="665">
        <f t="shared" si="1"/>
        <v>0</v>
      </c>
      <c r="O27" s="665">
        <f t="shared" si="2"/>
        <v>0</v>
      </c>
      <c r="P27" s="631"/>
    </row>
    <row r="28" spans="2:16">
      <c r="B28" s="9" t="str">
        <f t="shared" si="6"/>
        <v/>
      </c>
      <c r="C28" s="658">
        <f>IF(D11="","-",+C27+1)</f>
        <v>2032</v>
      </c>
      <c r="D28" s="660">
        <f>IF(F27+SUM(E$17:E27)=D$10,F27,D$10-SUM(E$17:E27))</f>
        <v>1379935.4688644684</v>
      </c>
      <c r="E28" s="69">
        <f t="shared" si="7"/>
        <v>43399.928571428572</v>
      </c>
      <c r="F28" s="660">
        <f t="shared" si="8"/>
        <v>1336535.5402930398</v>
      </c>
      <c r="G28" s="666">
        <f t="shared" si="9"/>
        <v>189832.99041970534</v>
      </c>
      <c r="H28" s="661">
        <f t="shared" si="10"/>
        <v>189832.99041970534</v>
      </c>
      <c r="I28" s="662">
        <f t="shared" si="4"/>
        <v>0</v>
      </c>
      <c r="J28" s="662"/>
      <c r="K28" s="132"/>
      <c r="L28" s="665">
        <f t="shared" si="0"/>
        <v>0</v>
      </c>
      <c r="M28" s="132"/>
      <c r="N28" s="665">
        <f t="shared" si="1"/>
        <v>0</v>
      </c>
      <c r="O28" s="665">
        <f t="shared" si="2"/>
        <v>0</v>
      </c>
      <c r="P28" s="631"/>
    </row>
    <row r="29" spans="2:16">
      <c r="B29" s="9" t="str">
        <f t="shared" si="6"/>
        <v/>
      </c>
      <c r="C29" s="658">
        <f>IF(D11="","-",+C28+1)</f>
        <v>2033</v>
      </c>
      <c r="D29" s="660">
        <f>IF(F28+SUM(E$17:E28)=D$10,F28,D$10-SUM(E$17:E28))</f>
        <v>1336535.5402930398</v>
      </c>
      <c r="E29" s="69">
        <f t="shared" si="7"/>
        <v>43399.928571428572</v>
      </c>
      <c r="F29" s="660">
        <f t="shared" si="8"/>
        <v>1293135.6117216111</v>
      </c>
      <c r="G29" s="666">
        <f t="shared" si="9"/>
        <v>185153.99005247388</v>
      </c>
      <c r="H29" s="661">
        <f t="shared" si="10"/>
        <v>185153.99005247388</v>
      </c>
      <c r="I29" s="662">
        <f t="shared" si="4"/>
        <v>0</v>
      </c>
      <c r="J29" s="662"/>
      <c r="K29" s="132"/>
      <c r="L29" s="665">
        <f t="shared" si="0"/>
        <v>0</v>
      </c>
      <c r="M29" s="132"/>
      <c r="N29" s="665">
        <f t="shared" si="1"/>
        <v>0</v>
      </c>
      <c r="O29" s="665">
        <f t="shared" si="2"/>
        <v>0</v>
      </c>
      <c r="P29" s="631"/>
    </row>
    <row r="30" spans="2:16">
      <c r="B30" s="9" t="str">
        <f t="shared" si="6"/>
        <v/>
      </c>
      <c r="C30" s="658">
        <f>IF(D11="","-",+C29+1)</f>
        <v>2034</v>
      </c>
      <c r="D30" s="660">
        <f>IF(F29+SUM(E$17:E29)=D$10,F29,D$10-SUM(E$17:E29))</f>
        <v>1293135.6117216111</v>
      </c>
      <c r="E30" s="69">
        <f t="shared" si="7"/>
        <v>43399.928571428572</v>
      </c>
      <c r="F30" s="660">
        <f t="shared" si="8"/>
        <v>1249735.6831501825</v>
      </c>
      <c r="G30" s="666">
        <f t="shared" si="9"/>
        <v>180474.98968524241</v>
      </c>
      <c r="H30" s="661">
        <f t="shared" si="10"/>
        <v>180474.98968524241</v>
      </c>
      <c r="I30" s="662">
        <f t="shared" si="4"/>
        <v>0</v>
      </c>
      <c r="J30" s="662"/>
      <c r="K30" s="132"/>
      <c r="L30" s="665">
        <f t="shared" si="0"/>
        <v>0</v>
      </c>
      <c r="M30" s="132"/>
      <c r="N30" s="665">
        <f t="shared" si="1"/>
        <v>0</v>
      </c>
      <c r="O30" s="665">
        <f t="shared" si="2"/>
        <v>0</v>
      </c>
      <c r="P30" s="631"/>
    </row>
    <row r="31" spans="2:16">
      <c r="B31" s="9" t="str">
        <f t="shared" si="6"/>
        <v/>
      </c>
      <c r="C31" s="658">
        <f>IF(D11="","-",+C30+1)</f>
        <v>2035</v>
      </c>
      <c r="D31" s="660">
        <f>IF(F30+SUM(E$17:E30)=D$10,F30,D$10-SUM(E$17:E30))</f>
        <v>1249735.6831501825</v>
      </c>
      <c r="E31" s="69">
        <f t="shared" si="7"/>
        <v>43399.928571428572</v>
      </c>
      <c r="F31" s="660">
        <f t="shared" si="8"/>
        <v>1206335.7545787538</v>
      </c>
      <c r="G31" s="666">
        <f t="shared" si="9"/>
        <v>175795.98931801095</v>
      </c>
      <c r="H31" s="661">
        <f t="shared" si="10"/>
        <v>175795.98931801095</v>
      </c>
      <c r="I31" s="662">
        <f t="shared" si="4"/>
        <v>0</v>
      </c>
      <c r="J31" s="662"/>
      <c r="K31" s="132"/>
      <c r="L31" s="665">
        <f t="shared" si="0"/>
        <v>0</v>
      </c>
      <c r="M31" s="132"/>
      <c r="N31" s="665">
        <f t="shared" si="1"/>
        <v>0</v>
      </c>
      <c r="O31" s="665">
        <f t="shared" si="2"/>
        <v>0</v>
      </c>
      <c r="P31" s="631"/>
    </row>
    <row r="32" spans="2:16">
      <c r="B32" s="9" t="str">
        <f t="shared" si="6"/>
        <v/>
      </c>
      <c r="C32" s="658">
        <f>IF(D11="","-",+C31+1)</f>
        <v>2036</v>
      </c>
      <c r="D32" s="660">
        <f>IF(F31+SUM(E$17:E31)=D$10,F31,D$10-SUM(E$17:E31))</f>
        <v>1206335.7545787538</v>
      </c>
      <c r="E32" s="69">
        <f t="shared" si="7"/>
        <v>43399.928571428572</v>
      </c>
      <c r="F32" s="660">
        <f t="shared" si="8"/>
        <v>1162935.8260073252</v>
      </c>
      <c r="G32" s="666">
        <f t="shared" si="9"/>
        <v>171116.98895077949</v>
      </c>
      <c r="H32" s="661">
        <f t="shared" si="10"/>
        <v>171116.98895077949</v>
      </c>
      <c r="I32" s="662">
        <f t="shared" si="4"/>
        <v>0</v>
      </c>
      <c r="J32" s="662"/>
      <c r="K32" s="132"/>
      <c r="L32" s="665">
        <f t="shared" si="0"/>
        <v>0</v>
      </c>
      <c r="M32" s="132"/>
      <c r="N32" s="665">
        <f t="shared" si="1"/>
        <v>0</v>
      </c>
      <c r="O32" s="665">
        <f t="shared" si="2"/>
        <v>0</v>
      </c>
      <c r="P32" s="631"/>
    </row>
    <row r="33" spans="2:16">
      <c r="B33" s="9" t="str">
        <f t="shared" si="6"/>
        <v/>
      </c>
      <c r="C33" s="658">
        <f>IF(D11="","-",+C32+1)</f>
        <v>2037</v>
      </c>
      <c r="D33" s="660">
        <f>IF(F32+SUM(E$17:E32)=D$10,F32,D$10-SUM(E$17:E32))</f>
        <v>1162935.8260073252</v>
      </c>
      <c r="E33" s="69">
        <f t="shared" si="7"/>
        <v>43399.928571428572</v>
      </c>
      <c r="F33" s="660">
        <f t="shared" si="8"/>
        <v>1119535.8974358966</v>
      </c>
      <c r="G33" s="666">
        <f t="shared" si="9"/>
        <v>166437.98858354802</v>
      </c>
      <c r="H33" s="661">
        <f t="shared" si="10"/>
        <v>166437.98858354802</v>
      </c>
      <c r="I33" s="662">
        <f t="shared" si="4"/>
        <v>0</v>
      </c>
      <c r="J33" s="662"/>
      <c r="K33" s="132"/>
      <c r="L33" s="665">
        <f t="shared" si="0"/>
        <v>0</v>
      </c>
      <c r="M33" s="132"/>
      <c r="N33" s="665">
        <f t="shared" si="1"/>
        <v>0</v>
      </c>
      <c r="O33" s="665">
        <f t="shared" si="2"/>
        <v>0</v>
      </c>
      <c r="P33" s="631"/>
    </row>
    <row r="34" spans="2:16">
      <c r="B34" s="9" t="str">
        <f t="shared" si="6"/>
        <v/>
      </c>
      <c r="C34" s="658">
        <f>IF(D11="","-",+C33+1)</f>
        <v>2038</v>
      </c>
      <c r="D34" s="660">
        <f>IF(F33+SUM(E$17:E33)=D$10,F33,D$10-SUM(E$17:E33))</f>
        <v>1119535.8974358966</v>
      </c>
      <c r="E34" s="69">
        <f t="shared" si="7"/>
        <v>43399.928571428572</v>
      </c>
      <c r="F34" s="660">
        <f t="shared" si="8"/>
        <v>1076135.9688644679</v>
      </c>
      <c r="G34" s="666">
        <f t="shared" si="9"/>
        <v>161758.98821631656</v>
      </c>
      <c r="H34" s="661">
        <f t="shared" si="10"/>
        <v>161758.98821631656</v>
      </c>
      <c r="I34" s="662">
        <f t="shared" si="4"/>
        <v>0</v>
      </c>
      <c r="J34" s="662"/>
      <c r="K34" s="132"/>
      <c r="L34" s="665">
        <f t="shared" si="0"/>
        <v>0</v>
      </c>
      <c r="M34" s="132"/>
      <c r="N34" s="665">
        <f t="shared" si="1"/>
        <v>0</v>
      </c>
      <c r="O34" s="665">
        <f t="shared" si="2"/>
        <v>0</v>
      </c>
      <c r="P34" s="631"/>
    </row>
    <row r="35" spans="2:16">
      <c r="B35" s="9" t="str">
        <f t="shared" si="6"/>
        <v/>
      </c>
      <c r="C35" s="658">
        <f>IF(D11="","-",+C34+1)</f>
        <v>2039</v>
      </c>
      <c r="D35" s="660">
        <f>IF(F34+SUM(E$17:E34)=D$10,F34,D$10-SUM(E$17:E34))</f>
        <v>1076135.9688644679</v>
      </c>
      <c r="E35" s="69">
        <f t="shared" si="7"/>
        <v>43399.928571428572</v>
      </c>
      <c r="F35" s="660">
        <f t="shared" si="8"/>
        <v>1032736.0402930394</v>
      </c>
      <c r="G35" s="666">
        <f t="shared" si="9"/>
        <v>157079.9878490851</v>
      </c>
      <c r="H35" s="661">
        <f t="shared" si="10"/>
        <v>157079.9878490851</v>
      </c>
      <c r="I35" s="662">
        <f t="shared" si="4"/>
        <v>0</v>
      </c>
      <c r="J35" s="662"/>
      <c r="K35" s="132"/>
      <c r="L35" s="665">
        <f t="shared" si="0"/>
        <v>0</v>
      </c>
      <c r="M35" s="132"/>
      <c r="N35" s="665">
        <f t="shared" si="1"/>
        <v>0</v>
      </c>
      <c r="O35" s="665">
        <f t="shared" si="2"/>
        <v>0</v>
      </c>
      <c r="P35" s="631"/>
    </row>
    <row r="36" spans="2:16">
      <c r="B36" s="9" t="str">
        <f t="shared" si="6"/>
        <v/>
      </c>
      <c r="C36" s="658">
        <f>IF(D11="","-",+C35+1)</f>
        <v>2040</v>
      </c>
      <c r="D36" s="660">
        <f>IF(F35+SUM(E$17:E35)=D$10,F35,D$10-SUM(E$17:E35))</f>
        <v>1032736.0402930394</v>
      </c>
      <c r="E36" s="69">
        <f t="shared" si="7"/>
        <v>43399.928571428572</v>
      </c>
      <c r="F36" s="660">
        <f t="shared" si="8"/>
        <v>989336.11172161088</v>
      </c>
      <c r="G36" s="666">
        <f t="shared" si="9"/>
        <v>152400.98748185363</v>
      </c>
      <c r="H36" s="661">
        <f t="shared" si="10"/>
        <v>152400.98748185363</v>
      </c>
      <c r="I36" s="662">
        <f t="shared" si="4"/>
        <v>0</v>
      </c>
      <c r="J36" s="662"/>
      <c r="K36" s="132"/>
      <c r="L36" s="665">
        <f t="shared" si="0"/>
        <v>0</v>
      </c>
      <c r="M36" s="132"/>
      <c r="N36" s="665">
        <f t="shared" si="1"/>
        <v>0</v>
      </c>
      <c r="O36" s="665">
        <f t="shared" si="2"/>
        <v>0</v>
      </c>
      <c r="P36" s="631"/>
    </row>
    <row r="37" spans="2:16">
      <c r="B37" s="9" t="str">
        <f t="shared" si="6"/>
        <v/>
      </c>
      <c r="C37" s="658">
        <f>IF(D11="","-",+C36+1)</f>
        <v>2041</v>
      </c>
      <c r="D37" s="660">
        <f>IF(F36+SUM(E$17:E36)=D$10,F36,D$10-SUM(E$17:E36))</f>
        <v>989336.11172161088</v>
      </c>
      <c r="E37" s="69">
        <f t="shared" si="7"/>
        <v>43399.928571428572</v>
      </c>
      <c r="F37" s="660">
        <f t="shared" si="8"/>
        <v>945936.18315018236</v>
      </c>
      <c r="G37" s="666">
        <f t="shared" si="9"/>
        <v>147721.98711462217</v>
      </c>
      <c r="H37" s="661">
        <f t="shared" si="10"/>
        <v>147721.98711462217</v>
      </c>
      <c r="I37" s="662">
        <f t="shared" si="4"/>
        <v>0</v>
      </c>
      <c r="J37" s="662"/>
      <c r="K37" s="132"/>
      <c r="L37" s="665">
        <f t="shared" si="0"/>
        <v>0</v>
      </c>
      <c r="M37" s="132"/>
      <c r="N37" s="665">
        <f t="shared" si="1"/>
        <v>0</v>
      </c>
      <c r="O37" s="665">
        <f t="shared" si="2"/>
        <v>0</v>
      </c>
      <c r="P37" s="631"/>
    </row>
    <row r="38" spans="2:16">
      <c r="B38" s="9" t="str">
        <f t="shared" si="6"/>
        <v/>
      </c>
      <c r="C38" s="658">
        <f>IF(D11="","-",+C37+1)</f>
        <v>2042</v>
      </c>
      <c r="D38" s="660">
        <f>IF(F37+SUM(E$17:E37)=D$10,F37,D$10-SUM(E$17:E37))</f>
        <v>945936.18315018236</v>
      </c>
      <c r="E38" s="69">
        <f t="shared" si="7"/>
        <v>43399.928571428572</v>
      </c>
      <c r="F38" s="660">
        <f t="shared" si="8"/>
        <v>902536.25457875384</v>
      </c>
      <c r="G38" s="666">
        <f t="shared" si="9"/>
        <v>143042.98674739074</v>
      </c>
      <c r="H38" s="661">
        <f t="shared" si="10"/>
        <v>143042.98674739074</v>
      </c>
      <c r="I38" s="662">
        <f t="shared" si="4"/>
        <v>0</v>
      </c>
      <c r="J38" s="662"/>
      <c r="K38" s="132"/>
      <c r="L38" s="665">
        <f t="shared" si="0"/>
        <v>0</v>
      </c>
      <c r="M38" s="132"/>
      <c r="N38" s="665">
        <f t="shared" si="1"/>
        <v>0</v>
      </c>
      <c r="O38" s="665">
        <f t="shared" si="2"/>
        <v>0</v>
      </c>
      <c r="P38" s="631"/>
    </row>
    <row r="39" spans="2:16">
      <c r="B39" s="9" t="str">
        <f t="shared" si="6"/>
        <v/>
      </c>
      <c r="C39" s="658">
        <f>IF(D11="","-",+C38+1)</f>
        <v>2043</v>
      </c>
      <c r="D39" s="660">
        <f>IF(F38+SUM(E$17:E38)=D$10,F38,D$10-SUM(E$17:E38))</f>
        <v>902536.25457875384</v>
      </c>
      <c r="E39" s="69">
        <f t="shared" si="7"/>
        <v>43399.928571428572</v>
      </c>
      <c r="F39" s="660">
        <f t="shared" si="8"/>
        <v>859136.32600732532</v>
      </c>
      <c r="G39" s="666">
        <f t="shared" si="9"/>
        <v>138363.98638015927</v>
      </c>
      <c r="H39" s="661">
        <f t="shared" si="10"/>
        <v>138363.98638015927</v>
      </c>
      <c r="I39" s="662">
        <f t="shared" si="4"/>
        <v>0</v>
      </c>
      <c r="J39" s="662"/>
      <c r="K39" s="132"/>
      <c r="L39" s="665">
        <f t="shared" si="0"/>
        <v>0</v>
      </c>
      <c r="M39" s="132"/>
      <c r="N39" s="665">
        <f t="shared" si="1"/>
        <v>0</v>
      </c>
      <c r="O39" s="665">
        <f t="shared" si="2"/>
        <v>0</v>
      </c>
      <c r="P39" s="631"/>
    </row>
    <row r="40" spans="2:16">
      <c r="B40" s="9" t="str">
        <f t="shared" si="6"/>
        <v/>
      </c>
      <c r="C40" s="658">
        <f>IF(D11="","-",+C39+1)</f>
        <v>2044</v>
      </c>
      <c r="D40" s="660">
        <f>IF(F39+SUM(E$17:E39)=D$10,F39,D$10-SUM(E$17:E39))</f>
        <v>859136.32600732532</v>
      </c>
      <c r="E40" s="69">
        <f t="shared" si="7"/>
        <v>43399.928571428572</v>
      </c>
      <c r="F40" s="660">
        <f t="shared" si="8"/>
        <v>815736.3974358968</v>
      </c>
      <c r="G40" s="666">
        <f t="shared" si="9"/>
        <v>133684.98601292784</v>
      </c>
      <c r="H40" s="661">
        <f t="shared" si="10"/>
        <v>133684.98601292784</v>
      </c>
      <c r="I40" s="662">
        <f t="shared" si="4"/>
        <v>0</v>
      </c>
      <c r="J40" s="662"/>
      <c r="K40" s="132"/>
      <c r="L40" s="665">
        <f t="shared" si="0"/>
        <v>0</v>
      </c>
      <c r="M40" s="132"/>
      <c r="N40" s="665">
        <f t="shared" si="1"/>
        <v>0</v>
      </c>
      <c r="O40" s="665">
        <f t="shared" si="2"/>
        <v>0</v>
      </c>
      <c r="P40" s="631"/>
    </row>
    <row r="41" spans="2:16">
      <c r="B41" s="9" t="str">
        <f t="shared" si="6"/>
        <v/>
      </c>
      <c r="C41" s="658">
        <f>IF(D11="","-",+C40+1)</f>
        <v>2045</v>
      </c>
      <c r="D41" s="660">
        <f>IF(F40+SUM(E$17:E40)=D$10,F40,D$10-SUM(E$17:E40))</f>
        <v>815736.3974358968</v>
      </c>
      <c r="E41" s="69">
        <f t="shared" si="7"/>
        <v>43399.928571428572</v>
      </c>
      <c r="F41" s="660">
        <f t="shared" si="8"/>
        <v>772336.46886446828</v>
      </c>
      <c r="G41" s="666">
        <f t="shared" si="9"/>
        <v>129005.98564569638</v>
      </c>
      <c r="H41" s="661">
        <f t="shared" si="10"/>
        <v>129005.98564569638</v>
      </c>
      <c r="I41" s="662">
        <f t="shared" si="4"/>
        <v>0</v>
      </c>
      <c r="J41" s="662"/>
      <c r="K41" s="132"/>
      <c r="L41" s="665">
        <f t="shared" si="0"/>
        <v>0</v>
      </c>
      <c r="M41" s="132"/>
      <c r="N41" s="665">
        <f t="shared" si="1"/>
        <v>0</v>
      </c>
      <c r="O41" s="665">
        <f t="shared" si="2"/>
        <v>0</v>
      </c>
      <c r="P41" s="631"/>
    </row>
    <row r="42" spans="2:16">
      <c r="B42" s="9" t="str">
        <f t="shared" si="6"/>
        <v/>
      </c>
      <c r="C42" s="658">
        <f>IF(D11="","-",+C41+1)</f>
        <v>2046</v>
      </c>
      <c r="D42" s="660">
        <f>IF(F41+SUM(E$17:E41)=D$10,F41,D$10-SUM(E$17:E41))</f>
        <v>772336.46886446828</v>
      </c>
      <c r="E42" s="69">
        <f t="shared" si="7"/>
        <v>43399.928571428572</v>
      </c>
      <c r="F42" s="660">
        <f t="shared" si="8"/>
        <v>728936.54029303975</v>
      </c>
      <c r="G42" s="666">
        <f t="shared" si="9"/>
        <v>124326.98527846494</v>
      </c>
      <c r="H42" s="661">
        <f t="shared" si="10"/>
        <v>124326.98527846494</v>
      </c>
      <c r="I42" s="662">
        <f t="shared" si="4"/>
        <v>0</v>
      </c>
      <c r="J42" s="662"/>
      <c r="K42" s="132"/>
      <c r="L42" s="665">
        <f t="shared" si="0"/>
        <v>0</v>
      </c>
      <c r="M42" s="132"/>
      <c r="N42" s="665">
        <f t="shared" si="1"/>
        <v>0</v>
      </c>
      <c r="O42" s="665">
        <f t="shared" si="2"/>
        <v>0</v>
      </c>
      <c r="P42" s="631"/>
    </row>
    <row r="43" spans="2:16">
      <c r="B43" s="9" t="str">
        <f t="shared" si="6"/>
        <v/>
      </c>
      <c r="C43" s="658">
        <f>IF(D11="","-",+C42+1)</f>
        <v>2047</v>
      </c>
      <c r="D43" s="660">
        <f>IF(F42+SUM(E$17:E42)=D$10,F42,D$10-SUM(E$17:E42))</f>
        <v>728936.54029303975</v>
      </c>
      <c r="E43" s="69">
        <f t="shared" si="7"/>
        <v>43399.928571428572</v>
      </c>
      <c r="F43" s="660">
        <f t="shared" si="8"/>
        <v>685536.61172161123</v>
      </c>
      <c r="G43" s="666">
        <f t="shared" si="9"/>
        <v>119647.98491123348</v>
      </c>
      <c r="H43" s="661">
        <f t="shared" si="10"/>
        <v>119647.98491123348</v>
      </c>
      <c r="I43" s="662">
        <f t="shared" si="4"/>
        <v>0</v>
      </c>
      <c r="J43" s="662"/>
      <c r="K43" s="132"/>
      <c r="L43" s="665">
        <f t="shared" si="0"/>
        <v>0</v>
      </c>
      <c r="M43" s="132"/>
      <c r="N43" s="665">
        <f t="shared" si="1"/>
        <v>0</v>
      </c>
      <c r="O43" s="665">
        <f t="shared" si="2"/>
        <v>0</v>
      </c>
      <c r="P43" s="631"/>
    </row>
    <row r="44" spans="2:16">
      <c r="B44" s="9" t="str">
        <f t="shared" si="6"/>
        <v/>
      </c>
      <c r="C44" s="658">
        <f>IF(D11="","-",+C43+1)</f>
        <v>2048</v>
      </c>
      <c r="D44" s="660">
        <f>IF(F43+SUM(E$17:E43)=D$10,F43,D$10-SUM(E$17:E43))</f>
        <v>685536.61172161123</v>
      </c>
      <c r="E44" s="69">
        <f t="shared" si="7"/>
        <v>43399.928571428572</v>
      </c>
      <c r="F44" s="660">
        <f t="shared" si="8"/>
        <v>642136.68315018271</v>
      </c>
      <c r="G44" s="666">
        <f t="shared" si="9"/>
        <v>114968.98454400204</v>
      </c>
      <c r="H44" s="661">
        <f t="shared" si="10"/>
        <v>114968.98454400204</v>
      </c>
      <c r="I44" s="662">
        <f t="shared" si="4"/>
        <v>0</v>
      </c>
      <c r="J44" s="662"/>
      <c r="K44" s="132"/>
      <c r="L44" s="665">
        <f t="shared" si="0"/>
        <v>0</v>
      </c>
      <c r="M44" s="132"/>
      <c r="N44" s="665">
        <f t="shared" si="1"/>
        <v>0</v>
      </c>
      <c r="O44" s="665">
        <f t="shared" si="2"/>
        <v>0</v>
      </c>
      <c r="P44" s="631"/>
    </row>
    <row r="45" spans="2:16">
      <c r="B45" s="9" t="str">
        <f t="shared" si="6"/>
        <v/>
      </c>
      <c r="C45" s="658">
        <f>IF(D11="","-",+C44+1)</f>
        <v>2049</v>
      </c>
      <c r="D45" s="660">
        <f>IF(F44+SUM(E$17:E44)=D$10,F44,D$10-SUM(E$17:E44))</f>
        <v>642136.68315018271</v>
      </c>
      <c r="E45" s="69">
        <f t="shared" si="7"/>
        <v>43399.928571428572</v>
      </c>
      <c r="F45" s="660">
        <f t="shared" si="8"/>
        <v>598736.75457875419</v>
      </c>
      <c r="G45" s="666">
        <f t="shared" si="9"/>
        <v>110289.98417677058</v>
      </c>
      <c r="H45" s="661">
        <f t="shared" si="10"/>
        <v>110289.98417677058</v>
      </c>
      <c r="I45" s="662">
        <f t="shared" si="4"/>
        <v>0</v>
      </c>
      <c r="J45" s="662"/>
      <c r="K45" s="132"/>
      <c r="L45" s="665">
        <f t="shared" si="0"/>
        <v>0</v>
      </c>
      <c r="M45" s="132"/>
      <c r="N45" s="665">
        <f t="shared" si="1"/>
        <v>0</v>
      </c>
      <c r="O45" s="665">
        <f t="shared" si="2"/>
        <v>0</v>
      </c>
      <c r="P45" s="631"/>
    </row>
    <row r="46" spans="2:16">
      <c r="B46" s="9" t="str">
        <f t="shared" si="6"/>
        <v/>
      </c>
      <c r="C46" s="658">
        <f>IF(D11="","-",+C45+1)</f>
        <v>2050</v>
      </c>
      <c r="D46" s="660">
        <f>IF(F45+SUM(E$17:E45)=D$10,F45,D$10-SUM(E$17:E45))</f>
        <v>598736.75457875419</v>
      </c>
      <c r="E46" s="69">
        <f t="shared" si="7"/>
        <v>43399.928571428572</v>
      </c>
      <c r="F46" s="660">
        <f t="shared" si="8"/>
        <v>555336.82600732567</v>
      </c>
      <c r="G46" s="666">
        <f t="shared" si="9"/>
        <v>105610.98380953913</v>
      </c>
      <c r="H46" s="661">
        <f t="shared" si="10"/>
        <v>105610.98380953913</v>
      </c>
      <c r="I46" s="662">
        <f t="shared" si="4"/>
        <v>0</v>
      </c>
      <c r="J46" s="662"/>
      <c r="K46" s="132"/>
      <c r="L46" s="665">
        <f t="shared" si="0"/>
        <v>0</v>
      </c>
      <c r="M46" s="132"/>
      <c r="N46" s="665">
        <f t="shared" si="1"/>
        <v>0</v>
      </c>
      <c r="O46" s="665">
        <f t="shared" si="2"/>
        <v>0</v>
      </c>
      <c r="P46" s="631"/>
    </row>
    <row r="47" spans="2:16">
      <c r="B47" s="9" t="str">
        <f t="shared" si="6"/>
        <v/>
      </c>
      <c r="C47" s="658">
        <f>IF(D11="","-",+C46+1)</f>
        <v>2051</v>
      </c>
      <c r="D47" s="660">
        <f>IF(F46+SUM(E$17:E46)=D$10,F46,D$10-SUM(E$17:E46))</f>
        <v>555336.82600732567</v>
      </c>
      <c r="E47" s="69">
        <f t="shared" si="7"/>
        <v>43399.928571428572</v>
      </c>
      <c r="F47" s="660">
        <f t="shared" si="8"/>
        <v>511936.89743589709</v>
      </c>
      <c r="G47" s="666">
        <f t="shared" si="9"/>
        <v>100931.98344230765</v>
      </c>
      <c r="H47" s="661">
        <f t="shared" si="10"/>
        <v>100931.98344230765</v>
      </c>
      <c r="I47" s="662">
        <f t="shared" si="4"/>
        <v>0</v>
      </c>
      <c r="J47" s="662"/>
      <c r="K47" s="132"/>
      <c r="L47" s="665">
        <f t="shared" si="0"/>
        <v>0</v>
      </c>
      <c r="M47" s="132"/>
      <c r="N47" s="665">
        <f t="shared" si="1"/>
        <v>0</v>
      </c>
      <c r="O47" s="665">
        <f t="shared" si="2"/>
        <v>0</v>
      </c>
      <c r="P47" s="631"/>
    </row>
    <row r="48" spans="2:16">
      <c r="B48" s="9" t="str">
        <f t="shared" si="6"/>
        <v/>
      </c>
      <c r="C48" s="658">
        <f>IF(D11="","-",+C47+1)</f>
        <v>2052</v>
      </c>
      <c r="D48" s="660">
        <f>IF(F47+SUM(E$17:E47)=D$10,F47,D$10-SUM(E$17:E47))</f>
        <v>511936.89743589709</v>
      </c>
      <c r="E48" s="69">
        <f t="shared" si="7"/>
        <v>43399.928571428572</v>
      </c>
      <c r="F48" s="660">
        <f t="shared" si="8"/>
        <v>468536.96886446851</v>
      </c>
      <c r="G48" s="666">
        <f t="shared" si="9"/>
        <v>96252.983075076219</v>
      </c>
      <c r="H48" s="661">
        <f t="shared" si="10"/>
        <v>96252.983075076219</v>
      </c>
      <c r="I48" s="662">
        <f t="shared" si="4"/>
        <v>0</v>
      </c>
      <c r="J48" s="662"/>
      <c r="K48" s="132"/>
      <c r="L48" s="665">
        <f t="shared" si="0"/>
        <v>0</v>
      </c>
      <c r="M48" s="132"/>
      <c r="N48" s="665">
        <f t="shared" si="1"/>
        <v>0</v>
      </c>
      <c r="O48" s="665">
        <f t="shared" si="2"/>
        <v>0</v>
      </c>
      <c r="P48" s="631"/>
    </row>
    <row r="49" spans="2:16">
      <c r="B49" s="9" t="str">
        <f t="shared" si="6"/>
        <v/>
      </c>
      <c r="C49" s="658">
        <f>IF(D11="","-",+C48+1)</f>
        <v>2053</v>
      </c>
      <c r="D49" s="660">
        <f>IF(F48+SUM(E$17:E48)=D$10,F48,D$10-SUM(E$17:E48))</f>
        <v>468536.96886446851</v>
      </c>
      <c r="E49" s="69">
        <f t="shared" si="7"/>
        <v>43399.928571428572</v>
      </c>
      <c r="F49" s="660">
        <f t="shared" si="8"/>
        <v>425137.04029303993</v>
      </c>
      <c r="G49" s="666">
        <f t="shared" si="9"/>
        <v>91573.982707844756</v>
      </c>
      <c r="H49" s="661">
        <f t="shared" si="10"/>
        <v>91573.982707844756</v>
      </c>
      <c r="I49" s="662">
        <f t="shared" si="4"/>
        <v>0</v>
      </c>
      <c r="J49" s="662"/>
      <c r="K49" s="132"/>
      <c r="L49" s="665">
        <f t="shared" si="0"/>
        <v>0</v>
      </c>
      <c r="M49" s="132"/>
      <c r="N49" s="665">
        <f t="shared" si="1"/>
        <v>0</v>
      </c>
      <c r="O49" s="665">
        <f t="shared" si="2"/>
        <v>0</v>
      </c>
      <c r="P49" s="631"/>
    </row>
    <row r="50" spans="2:16">
      <c r="B50" s="9" t="str">
        <f t="shared" si="6"/>
        <v/>
      </c>
      <c r="C50" s="658">
        <f>IF(D11="","-",+C49+1)</f>
        <v>2054</v>
      </c>
      <c r="D50" s="660">
        <f>IF(F49+SUM(E$17:E49)=D$10,F49,D$10-SUM(E$17:E49))</f>
        <v>425137.04029303993</v>
      </c>
      <c r="E50" s="69">
        <f t="shared" si="7"/>
        <v>43399.928571428572</v>
      </c>
      <c r="F50" s="660">
        <f t="shared" si="8"/>
        <v>381737.11172161135</v>
      </c>
      <c r="G50" s="666">
        <f t="shared" si="9"/>
        <v>86894.982340613293</v>
      </c>
      <c r="H50" s="661">
        <f t="shared" si="10"/>
        <v>86894.982340613293</v>
      </c>
      <c r="I50" s="662">
        <f t="shared" si="4"/>
        <v>0</v>
      </c>
      <c r="J50" s="662"/>
      <c r="K50" s="132"/>
      <c r="L50" s="665">
        <f t="shared" si="0"/>
        <v>0</v>
      </c>
      <c r="M50" s="132"/>
      <c r="N50" s="665">
        <f t="shared" si="1"/>
        <v>0</v>
      </c>
      <c r="O50" s="665">
        <f t="shared" si="2"/>
        <v>0</v>
      </c>
      <c r="P50" s="631"/>
    </row>
    <row r="51" spans="2:16">
      <c r="B51" s="9" t="str">
        <f t="shared" si="6"/>
        <v/>
      </c>
      <c r="C51" s="658">
        <f>IF(D11="","-",+C50+1)</f>
        <v>2055</v>
      </c>
      <c r="D51" s="660">
        <f>IF(F50+SUM(E$17:E50)=D$10,F50,D$10-SUM(E$17:E50))</f>
        <v>381737.11172161135</v>
      </c>
      <c r="E51" s="69">
        <f t="shared" si="7"/>
        <v>43399.928571428572</v>
      </c>
      <c r="F51" s="660">
        <f t="shared" si="8"/>
        <v>338337.18315018277</v>
      </c>
      <c r="G51" s="666">
        <f t="shared" si="9"/>
        <v>82215.981973381829</v>
      </c>
      <c r="H51" s="661">
        <f t="shared" si="10"/>
        <v>82215.981973381829</v>
      </c>
      <c r="I51" s="662">
        <f t="shared" si="4"/>
        <v>0</v>
      </c>
      <c r="J51" s="662"/>
      <c r="K51" s="132"/>
      <c r="L51" s="665">
        <f t="shared" si="0"/>
        <v>0</v>
      </c>
      <c r="M51" s="132"/>
      <c r="N51" s="665">
        <f t="shared" si="1"/>
        <v>0</v>
      </c>
      <c r="O51" s="665">
        <f t="shared" si="2"/>
        <v>0</v>
      </c>
      <c r="P51" s="631"/>
    </row>
    <row r="52" spans="2:16">
      <c r="B52" s="9" t="str">
        <f t="shared" si="6"/>
        <v/>
      </c>
      <c r="C52" s="658">
        <f>IF(D11="","-",+C51+1)</f>
        <v>2056</v>
      </c>
      <c r="D52" s="660">
        <f>IF(F51+SUM(E$17:E51)=D$10,F51,D$10-SUM(E$17:E51))</f>
        <v>338337.18315018277</v>
      </c>
      <c r="E52" s="69">
        <f t="shared" si="7"/>
        <v>43399.928571428572</v>
      </c>
      <c r="F52" s="660">
        <f t="shared" si="8"/>
        <v>294937.25457875419</v>
      </c>
      <c r="G52" s="666">
        <f t="shared" si="9"/>
        <v>77536.981606150381</v>
      </c>
      <c r="H52" s="661">
        <f t="shared" si="10"/>
        <v>77536.981606150381</v>
      </c>
      <c r="I52" s="662">
        <f t="shared" si="4"/>
        <v>0</v>
      </c>
      <c r="J52" s="662"/>
      <c r="K52" s="132"/>
      <c r="L52" s="665">
        <f t="shared" si="0"/>
        <v>0</v>
      </c>
      <c r="M52" s="132"/>
      <c r="N52" s="665">
        <f t="shared" si="1"/>
        <v>0</v>
      </c>
      <c r="O52" s="665">
        <f t="shared" si="2"/>
        <v>0</v>
      </c>
      <c r="P52" s="631"/>
    </row>
    <row r="53" spans="2:16">
      <c r="B53" s="9" t="str">
        <f t="shared" si="6"/>
        <v/>
      </c>
      <c r="C53" s="658">
        <f>IF(D11="","-",+C52+1)</f>
        <v>2057</v>
      </c>
      <c r="D53" s="660">
        <f>IF(F52+SUM(E$17:E52)=D$10,F52,D$10-SUM(E$17:E52))</f>
        <v>294937.25457875419</v>
      </c>
      <c r="E53" s="69">
        <f t="shared" si="7"/>
        <v>43399.928571428572</v>
      </c>
      <c r="F53" s="660">
        <f t="shared" si="8"/>
        <v>251537.32600732561</v>
      </c>
      <c r="G53" s="666">
        <f t="shared" si="9"/>
        <v>72857.981238918917</v>
      </c>
      <c r="H53" s="661">
        <f t="shared" si="10"/>
        <v>72857.981238918917</v>
      </c>
      <c r="I53" s="662">
        <f t="shared" si="4"/>
        <v>0</v>
      </c>
      <c r="J53" s="662"/>
      <c r="K53" s="132"/>
      <c r="L53" s="665">
        <f t="shared" si="0"/>
        <v>0</v>
      </c>
      <c r="M53" s="132"/>
      <c r="N53" s="665">
        <f t="shared" si="1"/>
        <v>0</v>
      </c>
      <c r="O53" s="665">
        <f t="shared" si="2"/>
        <v>0</v>
      </c>
      <c r="P53" s="631"/>
    </row>
    <row r="54" spans="2:16">
      <c r="B54" s="9" t="str">
        <f t="shared" si="6"/>
        <v/>
      </c>
      <c r="C54" s="658">
        <f>IF(D11="","-",+C53+1)</f>
        <v>2058</v>
      </c>
      <c r="D54" s="660">
        <f>IF(F53+SUM(E$17:E53)=D$10,F53,D$10-SUM(E$17:E53))</f>
        <v>251537.32600732561</v>
      </c>
      <c r="E54" s="69">
        <f t="shared" si="7"/>
        <v>43399.928571428572</v>
      </c>
      <c r="F54" s="660">
        <f t="shared" si="8"/>
        <v>208137.39743589703</v>
      </c>
      <c r="G54" s="666">
        <f t="shared" si="9"/>
        <v>68178.980871687469</v>
      </c>
      <c r="H54" s="661">
        <f t="shared" si="10"/>
        <v>68178.980871687469</v>
      </c>
      <c r="I54" s="662">
        <f t="shared" si="4"/>
        <v>0</v>
      </c>
      <c r="J54" s="662"/>
      <c r="K54" s="132"/>
      <c r="L54" s="665">
        <f t="shared" si="0"/>
        <v>0</v>
      </c>
      <c r="M54" s="132"/>
      <c r="N54" s="665">
        <f t="shared" si="1"/>
        <v>0</v>
      </c>
      <c r="O54" s="665">
        <f t="shared" si="2"/>
        <v>0</v>
      </c>
      <c r="P54" s="631"/>
    </row>
    <row r="55" spans="2:16">
      <c r="B55" s="9" t="str">
        <f t="shared" si="6"/>
        <v/>
      </c>
      <c r="C55" s="658">
        <f>IF(D11="","-",+C54+1)</f>
        <v>2059</v>
      </c>
      <c r="D55" s="660">
        <f>IF(F54+SUM(E$17:E54)=D$10,F54,D$10-SUM(E$17:E54))</f>
        <v>208137.39743589703</v>
      </c>
      <c r="E55" s="69">
        <f t="shared" si="7"/>
        <v>43399.928571428572</v>
      </c>
      <c r="F55" s="660">
        <f t="shared" si="8"/>
        <v>164737.46886446845</v>
      </c>
      <c r="G55" s="666">
        <f t="shared" si="9"/>
        <v>63499.980504456005</v>
      </c>
      <c r="H55" s="661">
        <f t="shared" si="10"/>
        <v>63499.980504456005</v>
      </c>
      <c r="I55" s="662">
        <f t="shared" si="4"/>
        <v>0</v>
      </c>
      <c r="J55" s="662"/>
      <c r="K55" s="132"/>
      <c r="L55" s="665">
        <f t="shared" si="0"/>
        <v>0</v>
      </c>
      <c r="M55" s="132"/>
      <c r="N55" s="665">
        <f t="shared" si="1"/>
        <v>0</v>
      </c>
      <c r="O55" s="665">
        <f t="shared" si="2"/>
        <v>0</v>
      </c>
      <c r="P55" s="631"/>
    </row>
    <row r="56" spans="2:16">
      <c r="B56" s="9" t="str">
        <f t="shared" si="6"/>
        <v/>
      </c>
      <c r="C56" s="658">
        <f>IF(D11="","-",+C55+1)</f>
        <v>2060</v>
      </c>
      <c r="D56" s="660">
        <f>IF(F55+SUM(E$17:E55)=D$10,F55,D$10-SUM(E$17:E55))</f>
        <v>164737.46886446845</v>
      </c>
      <c r="E56" s="69">
        <f t="shared" si="7"/>
        <v>43399.928571428572</v>
      </c>
      <c r="F56" s="660">
        <f t="shared" si="8"/>
        <v>121337.54029303987</v>
      </c>
      <c r="G56" s="666">
        <f t="shared" si="9"/>
        <v>58820.980137224542</v>
      </c>
      <c r="H56" s="661">
        <f t="shared" si="10"/>
        <v>58820.980137224542</v>
      </c>
      <c r="I56" s="662">
        <f t="shared" si="4"/>
        <v>0</v>
      </c>
      <c r="J56" s="662"/>
      <c r="K56" s="132"/>
      <c r="L56" s="665">
        <f t="shared" si="0"/>
        <v>0</v>
      </c>
      <c r="M56" s="132"/>
      <c r="N56" s="665">
        <f t="shared" si="1"/>
        <v>0</v>
      </c>
      <c r="O56" s="665">
        <f t="shared" si="2"/>
        <v>0</v>
      </c>
      <c r="P56" s="631"/>
    </row>
    <row r="57" spans="2:16">
      <c r="B57" s="9" t="str">
        <f t="shared" si="6"/>
        <v/>
      </c>
      <c r="C57" s="658">
        <f>IF(D11="","-",+C56+1)</f>
        <v>2061</v>
      </c>
      <c r="D57" s="660">
        <f>IF(F56+SUM(E$17:E56)=D$10,F56,D$10-SUM(E$17:E56))</f>
        <v>121337.54029303987</v>
      </c>
      <c r="E57" s="69">
        <f t="shared" si="7"/>
        <v>43399.928571428572</v>
      </c>
      <c r="F57" s="660">
        <f t="shared" si="8"/>
        <v>77937.611721611291</v>
      </c>
      <c r="G57" s="666">
        <f t="shared" si="9"/>
        <v>54141.979769993086</v>
      </c>
      <c r="H57" s="661">
        <f t="shared" si="10"/>
        <v>54141.979769993086</v>
      </c>
      <c r="I57" s="662">
        <f t="shared" si="4"/>
        <v>0</v>
      </c>
      <c r="J57" s="662"/>
      <c r="K57" s="132"/>
      <c r="L57" s="665">
        <f t="shared" si="0"/>
        <v>0</v>
      </c>
      <c r="M57" s="132"/>
      <c r="N57" s="665">
        <f t="shared" si="1"/>
        <v>0</v>
      </c>
      <c r="O57" s="665">
        <f t="shared" si="2"/>
        <v>0</v>
      </c>
      <c r="P57" s="631"/>
    </row>
    <row r="58" spans="2:16">
      <c r="B58" s="9" t="str">
        <f t="shared" si="6"/>
        <v/>
      </c>
      <c r="C58" s="658">
        <f>IF(D11="","-",+C57+1)</f>
        <v>2062</v>
      </c>
      <c r="D58" s="660">
        <f>IF(F57+SUM(E$17:E57)=D$10,F57,D$10-SUM(E$17:E57))</f>
        <v>77937.611721611291</v>
      </c>
      <c r="E58" s="69">
        <f t="shared" si="7"/>
        <v>43399.928571428572</v>
      </c>
      <c r="F58" s="660">
        <f t="shared" si="8"/>
        <v>34537.683150182718</v>
      </c>
      <c r="G58" s="666">
        <f t="shared" si="9"/>
        <v>49462.97940276163</v>
      </c>
      <c r="H58" s="661">
        <f t="shared" si="10"/>
        <v>49462.97940276163</v>
      </c>
      <c r="I58" s="662">
        <f t="shared" si="4"/>
        <v>0</v>
      </c>
      <c r="J58" s="662"/>
      <c r="K58" s="132"/>
      <c r="L58" s="665">
        <f t="shared" si="0"/>
        <v>0</v>
      </c>
      <c r="M58" s="132"/>
      <c r="N58" s="665">
        <f t="shared" si="1"/>
        <v>0</v>
      </c>
      <c r="O58" s="665">
        <f t="shared" si="2"/>
        <v>0</v>
      </c>
      <c r="P58" s="631"/>
    </row>
    <row r="59" spans="2:16">
      <c r="B59" s="9" t="str">
        <f t="shared" si="6"/>
        <v/>
      </c>
      <c r="C59" s="658">
        <f>IF(D11="","-",+C58+1)</f>
        <v>2063</v>
      </c>
      <c r="D59" s="660">
        <f>IF(F58+SUM(E$17:E58)=D$10,F58,D$10-SUM(E$17:E58))</f>
        <v>34537.683150182718</v>
      </c>
      <c r="E59" s="69">
        <f t="shared" si="7"/>
        <v>34537.683150182718</v>
      </c>
      <c r="F59" s="660">
        <f t="shared" si="8"/>
        <v>0</v>
      </c>
      <c r="G59" s="666">
        <f t="shared" si="9"/>
        <v>36399.458474041385</v>
      </c>
      <c r="H59" s="661">
        <f t="shared" si="10"/>
        <v>36399.458474041385</v>
      </c>
      <c r="I59" s="662">
        <f t="shared" si="4"/>
        <v>0</v>
      </c>
      <c r="J59" s="662"/>
      <c r="K59" s="132"/>
      <c r="L59" s="665">
        <f t="shared" si="0"/>
        <v>0</v>
      </c>
      <c r="M59" s="132"/>
      <c r="N59" s="665">
        <f t="shared" si="1"/>
        <v>0</v>
      </c>
      <c r="O59" s="665">
        <f t="shared" si="2"/>
        <v>0</v>
      </c>
      <c r="P59" s="631"/>
    </row>
    <row r="60" spans="2:16">
      <c r="B60" s="9" t="str">
        <f t="shared" si="6"/>
        <v/>
      </c>
      <c r="C60" s="658">
        <f>IF(D11="","-",+C59+1)</f>
        <v>2064</v>
      </c>
      <c r="D60" s="660">
        <f>IF(F59+SUM(E$17:E59)=D$10,F59,D$10-SUM(E$17:E59))</f>
        <v>0</v>
      </c>
      <c r="E60" s="69">
        <f t="shared" si="7"/>
        <v>0</v>
      </c>
      <c r="F60" s="660">
        <f t="shared" si="8"/>
        <v>0</v>
      </c>
      <c r="G60" s="666">
        <f t="shared" si="9"/>
        <v>0</v>
      </c>
      <c r="H60" s="661">
        <f t="shared" si="10"/>
        <v>0</v>
      </c>
      <c r="I60" s="662">
        <f t="shared" si="4"/>
        <v>0</v>
      </c>
      <c r="J60" s="662"/>
      <c r="K60" s="132"/>
      <c r="L60" s="665">
        <f t="shared" si="0"/>
        <v>0</v>
      </c>
      <c r="M60" s="132"/>
      <c r="N60" s="665">
        <f t="shared" si="1"/>
        <v>0</v>
      </c>
      <c r="O60" s="665">
        <f t="shared" si="2"/>
        <v>0</v>
      </c>
      <c r="P60" s="631"/>
    </row>
    <row r="61" spans="2:16">
      <c r="B61" s="9" t="str">
        <f t="shared" si="6"/>
        <v/>
      </c>
      <c r="C61" s="658">
        <f>IF(D11="","-",+C60+1)</f>
        <v>2065</v>
      </c>
      <c r="D61" s="660">
        <f>IF(F60+SUM(E$17:E60)=D$10,F60,D$10-SUM(E$17:E60))</f>
        <v>0</v>
      </c>
      <c r="E61" s="69">
        <f t="shared" si="7"/>
        <v>0</v>
      </c>
      <c r="F61" s="660">
        <f t="shared" si="8"/>
        <v>0</v>
      </c>
      <c r="G61" s="666">
        <f t="shared" si="9"/>
        <v>0</v>
      </c>
      <c r="H61" s="661">
        <f t="shared" si="10"/>
        <v>0</v>
      </c>
      <c r="I61" s="662">
        <f t="shared" si="4"/>
        <v>0</v>
      </c>
      <c r="J61" s="662"/>
      <c r="K61" s="132"/>
      <c r="L61" s="665">
        <f t="shared" si="0"/>
        <v>0</v>
      </c>
      <c r="M61" s="132"/>
      <c r="N61" s="665">
        <f t="shared" si="1"/>
        <v>0</v>
      </c>
      <c r="O61" s="665">
        <f t="shared" si="2"/>
        <v>0</v>
      </c>
      <c r="P61" s="631"/>
    </row>
    <row r="62" spans="2:16">
      <c r="B62" s="9" t="str">
        <f t="shared" si="6"/>
        <v/>
      </c>
      <c r="C62" s="658">
        <f>IF(D11="","-",+C61+1)</f>
        <v>2066</v>
      </c>
      <c r="D62" s="660">
        <f>IF(F61+SUM(E$17:E61)=D$10,F61,D$10-SUM(E$17:E61))</f>
        <v>0</v>
      </c>
      <c r="E62" s="69">
        <f t="shared" si="7"/>
        <v>0</v>
      </c>
      <c r="F62" s="660">
        <f t="shared" si="8"/>
        <v>0</v>
      </c>
      <c r="G62" s="666">
        <f t="shared" si="9"/>
        <v>0</v>
      </c>
      <c r="H62" s="661">
        <f t="shared" si="10"/>
        <v>0</v>
      </c>
      <c r="I62" s="662">
        <f t="shared" si="4"/>
        <v>0</v>
      </c>
      <c r="J62" s="662"/>
      <c r="K62" s="132"/>
      <c r="L62" s="665">
        <f t="shared" si="0"/>
        <v>0</v>
      </c>
      <c r="M62" s="132"/>
      <c r="N62" s="665">
        <f t="shared" si="1"/>
        <v>0</v>
      </c>
      <c r="O62" s="665">
        <f t="shared" si="2"/>
        <v>0</v>
      </c>
      <c r="P62" s="631"/>
    </row>
    <row r="63" spans="2:16">
      <c r="B63" s="9" t="str">
        <f t="shared" si="6"/>
        <v/>
      </c>
      <c r="C63" s="658">
        <f>IF(D11="","-",+C62+1)</f>
        <v>2067</v>
      </c>
      <c r="D63" s="660">
        <f>IF(F62+SUM(E$17:E62)=D$10,F62,D$10-SUM(E$17:E62))</f>
        <v>0</v>
      </c>
      <c r="E63" s="69">
        <f t="shared" si="7"/>
        <v>0</v>
      </c>
      <c r="F63" s="660">
        <f t="shared" si="8"/>
        <v>0</v>
      </c>
      <c r="G63" s="666">
        <f t="shared" si="9"/>
        <v>0</v>
      </c>
      <c r="H63" s="661">
        <f t="shared" si="10"/>
        <v>0</v>
      </c>
      <c r="I63" s="662">
        <f t="shared" si="4"/>
        <v>0</v>
      </c>
      <c r="J63" s="662"/>
      <c r="K63" s="132"/>
      <c r="L63" s="665">
        <f t="shared" si="0"/>
        <v>0</v>
      </c>
      <c r="M63" s="132"/>
      <c r="N63" s="665">
        <f t="shared" si="1"/>
        <v>0</v>
      </c>
      <c r="O63" s="665">
        <f t="shared" si="2"/>
        <v>0</v>
      </c>
      <c r="P63" s="631"/>
    </row>
    <row r="64" spans="2:16">
      <c r="B64" s="9" t="str">
        <f t="shared" si="6"/>
        <v/>
      </c>
      <c r="C64" s="658">
        <f>IF(D11="","-",+C63+1)</f>
        <v>2068</v>
      </c>
      <c r="D64" s="660">
        <f>IF(F63+SUM(E$17:E63)=D$10,F63,D$10-SUM(E$17:E63))</f>
        <v>0</v>
      </c>
      <c r="E64" s="69">
        <f t="shared" si="7"/>
        <v>0</v>
      </c>
      <c r="F64" s="660">
        <f t="shared" si="8"/>
        <v>0</v>
      </c>
      <c r="G64" s="666">
        <f t="shared" si="9"/>
        <v>0</v>
      </c>
      <c r="H64" s="661">
        <f t="shared" si="10"/>
        <v>0</v>
      </c>
      <c r="I64" s="662">
        <f t="shared" si="4"/>
        <v>0</v>
      </c>
      <c r="J64" s="662"/>
      <c r="K64" s="132"/>
      <c r="L64" s="665">
        <f t="shared" si="0"/>
        <v>0</v>
      </c>
      <c r="M64" s="132"/>
      <c r="N64" s="665">
        <f t="shared" si="1"/>
        <v>0</v>
      </c>
      <c r="O64" s="665">
        <f t="shared" si="2"/>
        <v>0</v>
      </c>
      <c r="P64" s="631"/>
    </row>
    <row r="65" spans="2:16">
      <c r="B65" s="9" t="str">
        <f t="shared" si="6"/>
        <v/>
      </c>
      <c r="C65" s="658">
        <f>IF(D11="","-",+C64+1)</f>
        <v>2069</v>
      </c>
      <c r="D65" s="660">
        <f>IF(F64+SUM(E$17:E64)=D$10,F64,D$10-SUM(E$17:E64))</f>
        <v>0</v>
      </c>
      <c r="E65" s="69">
        <f t="shared" si="7"/>
        <v>0</v>
      </c>
      <c r="F65" s="660">
        <f t="shared" si="8"/>
        <v>0</v>
      </c>
      <c r="G65" s="666">
        <f t="shared" si="9"/>
        <v>0</v>
      </c>
      <c r="H65" s="661">
        <f t="shared" si="10"/>
        <v>0</v>
      </c>
      <c r="I65" s="662">
        <f t="shared" si="4"/>
        <v>0</v>
      </c>
      <c r="J65" s="662"/>
      <c r="K65" s="132"/>
      <c r="L65" s="665">
        <f t="shared" si="0"/>
        <v>0</v>
      </c>
      <c r="M65" s="132"/>
      <c r="N65" s="665">
        <f t="shared" si="1"/>
        <v>0</v>
      </c>
      <c r="O65" s="665">
        <f t="shared" si="2"/>
        <v>0</v>
      </c>
      <c r="P65" s="631"/>
    </row>
    <row r="66" spans="2:16">
      <c r="B66" s="9" t="str">
        <f t="shared" si="6"/>
        <v/>
      </c>
      <c r="C66" s="658">
        <f>IF(D11="","-",+C65+1)</f>
        <v>2070</v>
      </c>
      <c r="D66" s="660">
        <f>IF(F65+SUM(E$17:E65)=D$10,F65,D$10-SUM(E$17:E65))</f>
        <v>0</v>
      </c>
      <c r="E66" s="69">
        <f t="shared" si="7"/>
        <v>0</v>
      </c>
      <c r="F66" s="660">
        <f t="shared" si="8"/>
        <v>0</v>
      </c>
      <c r="G66" s="666">
        <f t="shared" si="9"/>
        <v>0</v>
      </c>
      <c r="H66" s="661">
        <f t="shared" si="10"/>
        <v>0</v>
      </c>
      <c r="I66" s="662">
        <f t="shared" si="4"/>
        <v>0</v>
      </c>
      <c r="J66" s="662"/>
      <c r="K66" s="132"/>
      <c r="L66" s="665">
        <f t="shared" si="0"/>
        <v>0</v>
      </c>
      <c r="M66" s="132"/>
      <c r="N66" s="665">
        <f t="shared" si="1"/>
        <v>0</v>
      </c>
      <c r="O66" s="665">
        <f t="shared" si="2"/>
        <v>0</v>
      </c>
      <c r="P66" s="631"/>
    </row>
    <row r="67" spans="2:16">
      <c r="B67" s="9" t="str">
        <f t="shared" si="6"/>
        <v/>
      </c>
      <c r="C67" s="658">
        <f>IF(D11="","-",+C66+1)</f>
        <v>2071</v>
      </c>
      <c r="D67" s="660">
        <f>IF(F66+SUM(E$17:E66)=D$10,F66,D$10-SUM(E$17:E66))</f>
        <v>0</v>
      </c>
      <c r="E67" s="69">
        <f t="shared" si="7"/>
        <v>0</v>
      </c>
      <c r="F67" s="660">
        <f t="shared" si="8"/>
        <v>0</v>
      </c>
      <c r="G67" s="666">
        <f t="shared" si="9"/>
        <v>0</v>
      </c>
      <c r="H67" s="661">
        <f t="shared" si="10"/>
        <v>0</v>
      </c>
      <c r="I67" s="662">
        <f t="shared" si="4"/>
        <v>0</v>
      </c>
      <c r="J67" s="662"/>
      <c r="K67" s="132"/>
      <c r="L67" s="665">
        <f t="shared" si="0"/>
        <v>0</v>
      </c>
      <c r="M67" s="132"/>
      <c r="N67" s="665">
        <f t="shared" si="1"/>
        <v>0</v>
      </c>
      <c r="O67" s="665">
        <f t="shared" si="2"/>
        <v>0</v>
      </c>
      <c r="P67" s="631"/>
    </row>
    <row r="68" spans="2:16">
      <c r="B68" s="9" t="str">
        <f t="shared" si="6"/>
        <v/>
      </c>
      <c r="C68" s="658">
        <f>IF(D11="","-",+C67+1)</f>
        <v>2072</v>
      </c>
      <c r="D68" s="660">
        <f>IF(F67+SUM(E$17:E67)=D$10,F67,D$10-SUM(E$17:E67))</f>
        <v>0</v>
      </c>
      <c r="E68" s="69">
        <f t="shared" si="7"/>
        <v>0</v>
      </c>
      <c r="F68" s="660">
        <f t="shared" si="8"/>
        <v>0</v>
      </c>
      <c r="G68" s="666">
        <f t="shared" si="9"/>
        <v>0</v>
      </c>
      <c r="H68" s="661">
        <f t="shared" si="10"/>
        <v>0</v>
      </c>
      <c r="I68" s="662">
        <f t="shared" si="4"/>
        <v>0</v>
      </c>
      <c r="J68" s="662"/>
      <c r="K68" s="132"/>
      <c r="L68" s="665">
        <f t="shared" si="0"/>
        <v>0</v>
      </c>
      <c r="M68" s="132"/>
      <c r="N68" s="665">
        <f t="shared" si="1"/>
        <v>0</v>
      </c>
      <c r="O68" s="665">
        <f t="shared" si="2"/>
        <v>0</v>
      </c>
      <c r="P68" s="631"/>
    </row>
    <row r="69" spans="2:16">
      <c r="B69" s="9" t="str">
        <f t="shared" si="6"/>
        <v/>
      </c>
      <c r="C69" s="658">
        <f>IF(D11="","-",+C68+1)</f>
        <v>2073</v>
      </c>
      <c r="D69" s="660">
        <f>IF(F68+SUM(E$17:E68)=D$10,F68,D$10-SUM(E$17:E68))</f>
        <v>0</v>
      </c>
      <c r="E69" s="69">
        <f t="shared" si="7"/>
        <v>0</v>
      </c>
      <c r="F69" s="660">
        <f t="shared" si="8"/>
        <v>0</v>
      </c>
      <c r="G69" s="666">
        <f t="shared" si="9"/>
        <v>0</v>
      </c>
      <c r="H69" s="661">
        <f t="shared" si="10"/>
        <v>0</v>
      </c>
      <c r="I69" s="662">
        <f t="shared" si="4"/>
        <v>0</v>
      </c>
      <c r="J69" s="662"/>
      <c r="K69" s="132"/>
      <c r="L69" s="665">
        <f t="shared" si="0"/>
        <v>0</v>
      </c>
      <c r="M69" s="132"/>
      <c r="N69" s="665">
        <f t="shared" si="1"/>
        <v>0</v>
      </c>
      <c r="O69" s="665">
        <f t="shared" si="2"/>
        <v>0</v>
      </c>
      <c r="P69" s="631"/>
    </row>
    <row r="70" spans="2:16">
      <c r="B70" s="9" t="str">
        <f t="shared" si="6"/>
        <v/>
      </c>
      <c r="C70" s="658">
        <f>IF(D11="","-",+C69+1)</f>
        <v>2074</v>
      </c>
      <c r="D70" s="660">
        <f>IF(F69+SUM(E$17:E69)=D$10,F69,D$10-SUM(E$17:E69))</f>
        <v>0</v>
      </c>
      <c r="E70" s="69">
        <f t="shared" si="7"/>
        <v>0</v>
      </c>
      <c r="F70" s="660">
        <f t="shared" si="8"/>
        <v>0</v>
      </c>
      <c r="G70" s="666">
        <f t="shared" si="9"/>
        <v>0</v>
      </c>
      <c r="H70" s="661">
        <f t="shared" si="10"/>
        <v>0</v>
      </c>
      <c r="I70" s="662">
        <f t="shared" si="4"/>
        <v>0</v>
      </c>
      <c r="J70" s="662"/>
      <c r="K70" s="132"/>
      <c r="L70" s="665">
        <f t="shared" si="0"/>
        <v>0</v>
      </c>
      <c r="M70" s="132"/>
      <c r="N70" s="665">
        <f t="shared" si="1"/>
        <v>0</v>
      </c>
      <c r="O70" s="665">
        <f t="shared" si="2"/>
        <v>0</v>
      </c>
      <c r="P70" s="631"/>
    </row>
    <row r="71" spans="2:16">
      <c r="B71" s="9" t="str">
        <f t="shared" si="6"/>
        <v/>
      </c>
      <c r="C71" s="658">
        <f>IF(D11="","-",+C70+1)</f>
        <v>2075</v>
      </c>
      <c r="D71" s="660">
        <f>IF(F70+SUM(E$17:E70)=D$10,F70,D$10-SUM(E$17:E70))</f>
        <v>0</v>
      </c>
      <c r="E71" s="69">
        <f t="shared" si="7"/>
        <v>0</v>
      </c>
      <c r="F71" s="660">
        <f t="shared" si="8"/>
        <v>0</v>
      </c>
      <c r="G71" s="666">
        <f t="shared" si="9"/>
        <v>0</v>
      </c>
      <c r="H71" s="661">
        <f t="shared" si="10"/>
        <v>0</v>
      </c>
      <c r="I71" s="662">
        <f t="shared" si="4"/>
        <v>0</v>
      </c>
      <c r="J71" s="662"/>
      <c r="K71" s="132"/>
      <c r="L71" s="665">
        <f t="shared" si="0"/>
        <v>0</v>
      </c>
      <c r="M71" s="132"/>
      <c r="N71" s="665">
        <f t="shared" si="1"/>
        <v>0</v>
      </c>
      <c r="O71" s="665">
        <f t="shared" si="2"/>
        <v>0</v>
      </c>
      <c r="P71" s="631"/>
    </row>
    <row r="72" spans="2:16" ht="13" thickBot="1">
      <c r="B72" s="9" t="str">
        <f t="shared" si="6"/>
        <v/>
      </c>
      <c r="C72" s="667">
        <f>IF(D11="","-",+C71+1)</f>
        <v>2076</v>
      </c>
      <c r="D72" s="668">
        <f>IF(F71+SUM(E$17:E71)=D$10,F71,D$10-SUM(E$17:E71))</f>
        <v>0</v>
      </c>
      <c r="E72" s="489">
        <f>IF(+I$14&lt;F71,I$14,D72)</f>
        <v>0</v>
      </c>
      <c r="F72" s="668">
        <f>+D72-E72</f>
        <v>0</v>
      </c>
      <c r="G72" s="669">
        <f>(D72+F72)/2*I$12+E72</f>
        <v>0</v>
      </c>
      <c r="H72" s="643">
        <f>+(D72+F72)/2*I$13+E72</f>
        <v>0</v>
      </c>
      <c r="I72" s="670">
        <f>H72-G72</f>
        <v>0</v>
      </c>
      <c r="J72" s="662"/>
      <c r="K72" s="133"/>
      <c r="L72" s="671">
        <f t="shared" si="0"/>
        <v>0</v>
      </c>
      <c r="M72" s="133"/>
      <c r="N72" s="671">
        <f t="shared" si="1"/>
        <v>0</v>
      </c>
      <c r="O72" s="671">
        <f t="shared" si="2"/>
        <v>0</v>
      </c>
      <c r="P72" s="631"/>
    </row>
    <row r="73" spans="2:16">
      <c r="C73" s="659" t="s">
        <v>77</v>
      </c>
      <c r="D73" s="638"/>
      <c r="E73" s="638">
        <f>SUM(E17:E72)</f>
        <v>1822797.0000000002</v>
      </c>
      <c r="F73" s="638"/>
      <c r="G73" s="638">
        <f>SUM(G17:G72)</f>
        <v>5962145.9006919712</v>
      </c>
      <c r="H73" s="638">
        <f>SUM(H17:H72)</f>
        <v>5962145.9006919712</v>
      </c>
      <c r="I73" s="638">
        <f>SUM(I17:I72)</f>
        <v>0</v>
      </c>
      <c r="J73" s="638"/>
      <c r="K73" s="638"/>
      <c r="L73" s="638"/>
      <c r="M73" s="638"/>
      <c r="N73" s="638"/>
      <c r="O73" s="631"/>
      <c r="P73" s="631"/>
    </row>
    <row r="74" spans="2:16">
      <c r="D74" s="632"/>
      <c r="E74" s="631"/>
      <c r="F74" s="631"/>
      <c r="G74" s="631"/>
      <c r="H74" s="634"/>
      <c r="I74" s="634"/>
      <c r="J74" s="638"/>
      <c r="K74" s="634"/>
      <c r="L74" s="634"/>
      <c r="M74" s="634"/>
      <c r="N74" s="634"/>
      <c r="O74" s="631"/>
      <c r="P74" s="631"/>
    </row>
    <row r="75" spans="2:16" ht="13">
      <c r="C75" s="644" t="s">
        <v>106</v>
      </c>
      <c r="D75" s="632"/>
      <c r="E75" s="631"/>
      <c r="F75" s="631"/>
      <c r="G75" s="631"/>
      <c r="H75" s="634"/>
      <c r="I75" s="634"/>
      <c r="J75" s="638"/>
      <c r="K75" s="634"/>
      <c r="L75" s="634"/>
      <c r="M75" s="634"/>
      <c r="N75" s="634"/>
      <c r="O75" s="631"/>
      <c r="P75" s="631"/>
    </row>
    <row r="76" spans="2:16" ht="13">
      <c r="C76" s="641" t="s">
        <v>78</v>
      </c>
      <c r="D76" s="632"/>
      <c r="E76" s="631"/>
      <c r="F76" s="631"/>
      <c r="G76" s="631"/>
      <c r="H76" s="634"/>
      <c r="I76" s="634"/>
      <c r="J76" s="638"/>
      <c r="K76" s="634"/>
      <c r="L76" s="634"/>
      <c r="M76" s="634"/>
      <c r="N76" s="634"/>
      <c r="O76" s="631"/>
      <c r="P76" s="631"/>
    </row>
    <row r="77" spans="2:16" ht="13">
      <c r="C77" s="641" t="s">
        <v>79</v>
      </c>
      <c r="D77" s="659"/>
      <c r="E77" s="659"/>
      <c r="F77" s="659"/>
      <c r="G77" s="638"/>
      <c r="H77" s="638"/>
      <c r="I77" s="672"/>
      <c r="J77" s="672"/>
      <c r="K77" s="672"/>
      <c r="L77" s="672"/>
      <c r="M77" s="672"/>
      <c r="N77" s="672"/>
      <c r="O77" s="631"/>
      <c r="P77" s="631"/>
    </row>
    <row r="78" spans="2:16" ht="13">
      <c r="C78" s="641"/>
      <c r="D78" s="659"/>
      <c r="E78" s="659"/>
      <c r="F78" s="659"/>
      <c r="G78" s="638"/>
      <c r="H78" s="638"/>
      <c r="I78" s="672"/>
      <c r="J78" s="672"/>
      <c r="K78" s="672"/>
      <c r="L78" s="672"/>
      <c r="M78" s="672"/>
      <c r="N78" s="672"/>
      <c r="O78" s="631"/>
      <c r="P78" s="631"/>
    </row>
    <row r="79" spans="2:16">
      <c r="B79" s="631"/>
      <c r="C79" s="631"/>
      <c r="D79" s="632"/>
      <c r="E79" s="631"/>
      <c r="F79" s="659"/>
      <c r="G79" s="631"/>
      <c r="H79" s="634"/>
      <c r="I79" s="631"/>
      <c r="J79" s="631"/>
      <c r="K79" s="631"/>
      <c r="L79" s="631"/>
      <c r="M79" s="631"/>
      <c r="N79" s="631"/>
      <c r="O79" s="631"/>
      <c r="P79" s="631"/>
    </row>
    <row r="80" spans="2:16" ht="17.5">
      <c r="B80" s="631"/>
      <c r="C80" s="673"/>
      <c r="D80" s="632"/>
      <c r="E80" s="631"/>
      <c r="F80" s="659"/>
      <c r="G80" s="631"/>
      <c r="H80" s="634"/>
      <c r="I80" s="631"/>
      <c r="J80" s="631"/>
      <c r="K80" s="631"/>
      <c r="L80" s="631"/>
      <c r="M80" s="631"/>
      <c r="N80" s="631"/>
      <c r="P80" s="111" t="s">
        <v>144</v>
      </c>
    </row>
    <row r="81" spans="1:16">
      <c r="B81" s="631"/>
      <c r="C81" s="631"/>
      <c r="D81" s="632"/>
      <c r="E81" s="631"/>
      <c r="F81" s="659"/>
      <c r="G81" s="631"/>
      <c r="H81" s="634"/>
      <c r="I81" s="631"/>
      <c r="J81" s="631"/>
      <c r="K81" s="631"/>
      <c r="L81" s="631"/>
      <c r="M81" s="631"/>
      <c r="N81" s="631"/>
      <c r="O81" s="631"/>
      <c r="P81" s="631"/>
    </row>
    <row r="82" spans="1:16">
      <c r="B82" s="631"/>
      <c r="C82" s="631"/>
      <c r="D82" s="632"/>
      <c r="E82" s="631"/>
      <c r="F82" s="659"/>
      <c r="G82" s="631"/>
      <c r="H82" s="634"/>
      <c r="I82" s="631"/>
      <c r="J82" s="631"/>
      <c r="K82" s="631"/>
      <c r="L82" s="631"/>
      <c r="M82" s="631"/>
      <c r="N82" s="631"/>
      <c r="O82" s="631"/>
      <c r="P82" s="631"/>
    </row>
    <row r="83" spans="1:16" ht="20">
      <c r="A83" s="110" t="s">
        <v>146</v>
      </c>
      <c r="B83" s="631"/>
      <c r="C83" s="631"/>
      <c r="D83" s="632"/>
      <c r="E83" s="631"/>
      <c r="F83" s="633"/>
      <c r="G83" s="633"/>
      <c r="H83" s="631"/>
      <c r="I83" s="634"/>
      <c r="L83" s="19"/>
      <c r="M83" s="19"/>
      <c r="P83" s="19" t="str">
        <f>P1</f>
        <v>PSO Project 30 of 31</v>
      </c>
    </row>
    <row r="84" spans="1:16" ht="17.5">
      <c r="B84" s="631"/>
      <c r="C84" s="631"/>
      <c r="D84" s="632"/>
      <c r="E84" s="631"/>
      <c r="F84" s="631"/>
      <c r="G84" s="631"/>
      <c r="H84" s="631"/>
      <c r="I84" s="634"/>
      <c r="J84" s="631"/>
      <c r="K84" s="631"/>
      <c r="L84" s="631"/>
      <c r="M84" s="631"/>
      <c r="P84" s="117" t="s">
        <v>151</v>
      </c>
    </row>
    <row r="85" spans="1:16" ht="17.5" thickBot="1">
      <c r="B85" s="636" t="s">
        <v>42</v>
      </c>
      <c r="C85" s="674" t="s">
        <v>91</v>
      </c>
      <c r="D85" s="632"/>
      <c r="E85" s="631"/>
      <c r="F85" s="631"/>
      <c r="G85" s="631"/>
      <c r="H85" s="631"/>
      <c r="I85" s="634"/>
      <c r="J85" s="634"/>
      <c r="K85" s="638"/>
      <c r="L85" s="634"/>
      <c r="M85" s="634"/>
      <c r="N85" s="634"/>
      <c r="O85" s="638"/>
      <c r="P85" s="631"/>
    </row>
    <row r="86" spans="1:16" ht="16" thickBot="1">
      <c r="C86" s="639"/>
      <c r="D86" s="632"/>
      <c r="E86" s="631"/>
      <c r="F86" s="631"/>
      <c r="G86" s="631"/>
      <c r="H86" s="631"/>
      <c r="I86" s="634"/>
      <c r="J86" s="634"/>
      <c r="K86" s="638"/>
      <c r="L86" s="675">
        <f>+J92</f>
        <v>2023</v>
      </c>
      <c r="M86" s="676" t="s">
        <v>8</v>
      </c>
      <c r="N86" s="677" t="s">
        <v>153</v>
      </c>
      <c r="O86" s="678" t="s">
        <v>10</v>
      </c>
      <c r="P86" s="631"/>
    </row>
    <row r="87" spans="1:16" ht="15.5">
      <c r="C87" s="107" t="s">
        <v>44</v>
      </c>
      <c r="D87" s="632"/>
      <c r="E87" s="631"/>
      <c r="F87" s="631"/>
      <c r="G87" s="631"/>
      <c r="H87" s="419"/>
      <c r="I87" s="631" t="s">
        <v>45</v>
      </c>
      <c r="J87" s="631"/>
      <c r="K87" s="122"/>
      <c r="L87" s="679" t="s">
        <v>154</v>
      </c>
      <c r="M87" s="506">
        <f>IF(J92&lt;D11,0,VLOOKUP(J92,C17:O72,9))</f>
        <v>261920.95465094032</v>
      </c>
      <c r="N87" s="506">
        <f>IF(J92&lt;D11,0,VLOOKUP(J92,C17:O72,11))</f>
        <v>261920.95465094032</v>
      </c>
      <c r="O87" s="680">
        <f>+N87-M87</f>
        <v>0</v>
      </c>
      <c r="P87" s="631"/>
    </row>
    <row r="88" spans="1:16" ht="15.5">
      <c r="C88" s="8"/>
      <c r="D88" s="632"/>
      <c r="E88" s="631"/>
      <c r="F88" s="631"/>
      <c r="G88" s="631"/>
      <c r="H88" s="631"/>
      <c r="I88" s="424"/>
      <c r="J88" s="424"/>
      <c r="K88" s="508"/>
      <c r="L88" s="681" t="s">
        <v>155</v>
      </c>
      <c r="M88" s="510">
        <f>IF(J92&lt;D11,0,VLOOKUP(J92,C99:P154,6))</f>
        <v>232899.50332166909</v>
      </c>
      <c r="N88" s="510">
        <f>IF(J92&lt;D11,0,VLOOKUP(J92,C99:P154,7))</f>
        <v>232899.50332166909</v>
      </c>
      <c r="O88" s="682">
        <f>+N88-M88</f>
        <v>0</v>
      </c>
      <c r="P88" s="631"/>
    </row>
    <row r="89" spans="1:16" ht="13.5" thickBot="1">
      <c r="C89" s="641" t="s">
        <v>92</v>
      </c>
      <c r="D89" s="79" t="str">
        <f>D7</f>
        <v>Tulsa SE - E 21st St Tap 138 kV</v>
      </c>
      <c r="E89" s="631"/>
      <c r="F89" s="631"/>
      <c r="G89" s="631"/>
      <c r="H89" s="631"/>
      <c r="I89" s="634"/>
      <c r="J89" s="634"/>
      <c r="K89" s="513"/>
      <c r="L89" s="683" t="s">
        <v>156</v>
      </c>
      <c r="M89" s="515">
        <f>+M88-M87</f>
        <v>-29021.451329271222</v>
      </c>
      <c r="N89" s="515">
        <f>+N88-N87</f>
        <v>-29021.451329271222</v>
      </c>
      <c r="O89" s="516">
        <f>+O88-O87</f>
        <v>0</v>
      </c>
      <c r="P89" s="631"/>
    </row>
    <row r="90" spans="1:16" ht="13.5" thickBot="1">
      <c r="C90" s="644"/>
      <c r="E90" s="659"/>
      <c r="F90" s="659"/>
      <c r="G90" s="659"/>
      <c r="H90" s="645"/>
      <c r="I90" s="634"/>
      <c r="J90" s="634"/>
      <c r="K90" s="638"/>
      <c r="L90" s="634"/>
      <c r="M90" s="634"/>
      <c r="N90" s="634"/>
      <c r="O90" s="638"/>
      <c r="P90" s="631"/>
    </row>
    <row r="91" spans="1:16" ht="13.5" thickBot="1">
      <c r="C91" s="684" t="s">
        <v>93</v>
      </c>
      <c r="D91" s="685" t="str">
        <f>+D9</f>
        <v>TP2020033</v>
      </c>
      <c r="E91" s="686"/>
      <c r="F91" s="686"/>
      <c r="G91" s="686"/>
      <c r="H91" s="686"/>
      <c r="I91" s="686"/>
      <c r="J91" s="686"/>
    </row>
    <row r="92" spans="1:16" ht="13">
      <c r="C92" s="651" t="s">
        <v>226</v>
      </c>
      <c r="D92" s="687">
        <f>D10</f>
        <v>1822797</v>
      </c>
      <c r="E92" s="631" t="s">
        <v>94</v>
      </c>
      <c r="H92" s="632"/>
      <c r="I92" s="632"/>
      <c r="J92" s="447">
        <f>+'PSO.WS.G.BPU.ATRR.True-up'!M16</f>
        <v>2023</v>
      </c>
      <c r="K92" s="650"/>
      <c r="L92" s="638" t="s">
        <v>95</v>
      </c>
      <c r="P92" s="631"/>
    </row>
    <row r="93" spans="1:16">
      <c r="C93" s="653" t="s">
        <v>53</v>
      </c>
      <c r="D93" s="688">
        <f>+D11</f>
        <v>2021</v>
      </c>
      <c r="E93" s="653" t="s">
        <v>54</v>
      </c>
      <c r="F93" s="632"/>
      <c r="G93" s="632"/>
      <c r="J93" s="654">
        <v>0</v>
      </c>
      <c r="K93" s="655"/>
      <c r="L93" t="str">
        <f>"          INPUT TRUE-UP ARR (WITH &amp; WITHOUT INCENTIVES) FROM EACH PRIOR YEAR"</f>
        <v xml:space="preserve">          INPUT TRUE-UP ARR (WITH &amp; WITHOUT INCENTIVES) FROM EACH PRIOR YEAR</v>
      </c>
      <c r="P93" s="631"/>
    </row>
    <row r="94" spans="1:16">
      <c r="C94" s="653" t="s">
        <v>55</v>
      </c>
      <c r="D94" s="688">
        <f>+D12</f>
        <v>11</v>
      </c>
      <c r="E94" s="653" t="s">
        <v>56</v>
      </c>
      <c r="F94" s="632"/>
      <c r="G94" s="632"/>
      <c r="J94" s="656">
        <v>0.10781124580725182</v>
      </c>
      <c r="K94" s="633"/>
      <c r="L94" t="s">
        <v>96</v>
      </c>
      <c r="P94" s="631"/>
    </row>
    <row r="95" spans="1:16">
      <c r="C95" s="653" t="s">
        <v>58</v>
      </c>
      <c r="D95" s="654">
        <v>42</v>
      </c>
      <c r="E95" s="653" t="s">
        <v>59</v>
      </c>
      <c r="F95" s="632"/>
      <c r="G95" s="632"/>
      <c r="J95" s="656">
        <v>0.10781124580725182</v>
      </c>
      <c r="K95" s="633"/>
      <c r="L95" s="638" t="s">
        <v>60</v>
      </c>
      <c r="M95" s="633"/>
      <c r="N95" s="633"/>
      <c r="O95" s="633"/>
      <c r="P95" s="631"/>
    </row>
    <row r="96" spans="1:16" ht="13" thickBot="1">
      <c r="C96" s="653" t="s">
        <v>61</v>
      </c>
      <c r="D96" s="689" t="str">
        <f>+D14</f>
        <v>No</v>
      </c>
      <c r="E96" s="690" t="s">
        <v>63</v>
      </c>
      <c r="F96" s="691"/>
      <c r="G96" s="691"/>
      <c r="H96" s="92"/>
      <c r="I96" s="92"/>
      <c r="J96" s="643">
        <f>IF(D92=0,0,ROUND(D92/D95,0))</f>
        <v>43400</v>
      </c>
      <c r="K96" s="638"/>
      <c r="L96" s="638"/>
      <c r="M96" s="638"/>
      <c r="N96" s="638"/>
      <c r="O96" s="638"/>
      <c r="P96" s="631"/>
    </row>
    <row r="97" spans="1:16" ht="39">
      <c r="A97" s="6"/>
      <c r="B97" s="6"/>
      <c r="C97" s="93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93" t="s">
        <v>98</v>
      </c>
      <c r="K97" s="95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534" t="s">
        <v>73</v>
      </c>
      <c r="I98" s="464" t="s">
        <v>74</v>
      </c>
      <c r="J98" s="57" t="s">
        <v>104</v>
      </c>
      <c r="K98" s="55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3" thickBot="1">
      <c r="C99" s="658">
        <f>IF(D93= "","-",D93)</f>
        <v>2021</v>
      </c>
      <c r="D99" s="132">
        <v>0</v>
      </c>
      <c r="E99" s="132">
        <v>0</v>
      </c>
      <c r="F99" s="132">
        <v>1504560.18</v>
      </c>
      <c r="G99" s="132">
        <v>752280.09</v>
      </c>
      <c r="H99" s="132">
        <v>81104.253698891524</v>
      </c>
      <c r="I99" s="132">
        <v>81104.253698891524</v>
      </c>
      <c r="J99" s="665">
        <f>+I99-H99</f>
        <v>0</v>
      </c>
      <c r="K99" s="665"/>
      <c r="L99" s="664">
        <f>+H99</f>
        <v>81104.253698891524</v>
      </c>
      <c r="M99" s="664">
        <f t="shared" ref="M99:M130" si="11">IF(L99&lt;&gt;0,+H99-L99,0)</f>
        <v>0</v>
      </c>
      <c r="N99" s="664">
        <f>+I99</f>
        <v>81104.253698891524</v>
      </c>
      <c r="O99" s="664">
        <f t="shared" ref="O99:O130" si="12">IF(N99&lt;&gt;0,+I99-N99,0)</f>
        <v>0</v>
      </c>
      <c r="P99" s="664">
        <f t="shared" ref="P99:P130" si="13">+O99-M99</f>
        <v>0</v>
      </c>
    </row>
    <row r="100" spans="1:16">
      <c r="B100" s="9" t="str">
        <f>IF(D100=F99,"","IU")</f>
        <v>IU</v>
      </c>
      <c r="C100" s="658">
        <f>IF(D93="","-",+C99+1)</f>
        <v>2022</v>
      </c>
      <c r="D100" s="659">
        <f>IF(F99+SUM(E$99:E99)=D$92,F99,D$92-SUM(E$99:E99))</f>
        <v>1822797</v>
      </c>
      <c r="E100" s="69">
        <f>IF(+J$96&lt;F99,J$96,D100)</f>
        <v>43400</v>
      </c>
      <c r="F100" s="660">
        <f>+D100-E100</f>
        <v>1779397</v>
      </c>
      <c r="G100" s="660">
        <f>+(F100+D100)/2</f>
        <v>1801097</v>
      </c>
      <c r="H100" s="130">
        <f t="shared" ref="H100:H154" si="14">+J$94*G100+E100</f>
        <v>237578.51138970384</v>
      </c>
      <c r="I100" s="139">
        <f t="shared" ref="I100:I154" si="15">+J$95*G100+E100</f>
        <v>237578.51138970384</v>
      </c>
      <c r="J100" s="665">
        <f t="shared" ref="J100:J130" si="16">+I100-H100</f>
        <v>0</v>
      </c>
      <c r="K100" s="665"/>
      <c r="L100" s="664">
        <f>+H100</f>
        <v>237578.51138970384</v>
      </c>
      <c r="M100" s="664">
        <f t="shared" ref="M100" si="17">IF(L100&lt;&gt;0,+H100-L100,0)</f>
        <v>0</v>
      </c>
      <c r="N100" s="664">
        <f>+I100</f>
        <v>237578.51138970384</v>
      </c>
      <c r="O100" s="664">
        <f t="shared" ref="O100" si="18">IF(N100&lt;&gt;0,+I100-N100,0)</f>
        <v>0</v>
      </c>
      <c r="P100" s="664">
        <f t="shared" ref="P100" si="19">+O100-M100</f>
        <v>0</v>
      </c>
    </row>
    <row r="101" spans="1:16">
      <c r="B101" s="9" t="str">
        <f t="shared" ref="B101:B154" si="20">IF(D101=F100,"","IU")</f>
        <v/>
      </c>
      <c r="C101" s="658">
        <f>IF(D93="","-",+C100+1)</f>
        <v>2023</v>
      </c>
      <c r="D101" s="659">
        <f>IF(F100+SUM(E$99:E100)=D$92,F100,D$92-SUM(E$99:E100))</f>
        <v>1779397</v>
      </c>
      <c r="E101" s="69">
        <f t="shared" ref="E101:E154" si="21">IF(+J$96&lt;F100,J$96,D101)</f>
        <v>43400</v>
      </c>
      <c r="F101" s="660">
        <f t="shared" ref="F101:F154" si="22">+D101-E101</f>
        <v>1735997</v>
      </c>
      <c r="G101" s="660">
        <f t="shared" ref="G101:G154" si="23">+(F101+D101)/2</f>
        <v>1757697</v>
      </c>
      <c r="H101" s="130">
        <f t="shared" si="14"/>
        <v>232899.50332166909</v>
      </c>
      <c r="I101" s="139">
        <f t="shared" si="15"/>
        <v>232899.50332166909</v>
      </c>
      <c r="J101" s="665">
        <f t="shared" si="16"/>
        <v>0</v>
      </c>
      <c r="K101" s="665"/>
      <c r="L101" s="132"/>
      <c r="M101" s="665">
        <f t="shared" si="11"/>
        <v>0</v>
      </c>
      <c r="N101" s="132"/>
      <c r="O101" s="665">
        <f t="shared" si="12"/>
        <v>0</v>
      </c>
      <c r="P101" s="665">
        <f t="shared" si="13"/>
        <v>0</v>
      </c>
    </row>
    <row r="102" spans="1:16">
      <c r="B102" s="9" t="str">
        <f t="shared" si="20"/>
        <v/>
      </c>
      <c r="C102" s="658">
        <f>IF(D93="","-",+C101+1)</f>
        <v>2024</v>
      </c>
      <c r="D102" s="659">
        <f>IF(F101+SUM(E$99:E101)=D$92,F101,D$92-SUM(E$99:E101))</f>
        <v>1735997</v>
      </c>
      <c r="E102" s="69">
        <f t="shared" si="21"/>
        <v>43400</v>
      </c>
      <c r="F102" s="660">
        <f t="shared" si="22"/>
        <v>1692597</v>
      </c>
      <c r="G102" s="660">
        <f t="shared" si="23"/>
        <v>1714297</v>
      </c>
      <c r="H102" s="130">
        <f t="shared" si="14"/>
        <v>228220.49525363438</v>
      </c>
      <c r="I102" s="139">
        <f t="shared" si="15"/>
        <v>228220.49525363438</v>
      </c>
      <c r="J102" s="665">
        <f t="shared" si="16"/>
        <v>0</v>
      </c>
      <c r="K102" s="665"/>
      <c r="L102" s="132"/>
      <c r="M102" s="665">
        <f t="shared" si="11"/>
        <v>0</v>
      </c>
      <c r="N102" s="132"/>
      <c r="O102" s="665">
        <f t="shared" si="12"/>
        <v>0</v>
      </c>
      <c r="P102" s="665">
        <f t="shared" si="13"/>
        <v>0</v>
      </c>
    </row>
    <row r="103" spans="1:16">
      <c r="B103" s="9" t="str">
        <f t="shared" si="20"/>
        <v/>
      </c>
      <c r="C103" s="658">
        <f>IF(D93="","-",+C102+1)</f>
        <v>2025</v>
      </c>
      <c r="D103" s="659">
        <f>IF(F102+SUM(E$99:E102)=D$92,F102,D$92-SUM(E$99:E102))</f>
        <v>1692597</v>
      </c>
      <c r="E103" s="69">
        <f t="shared" si="21"/>
        <v>43400</v>
      </c>
      <c r="F103" s="660">
        <f t="shared" si="22"/>
        <v>1649197</v>
      </c>
      <c r="G103" s="660">
        <f t="shared" si="23"/>
        <v>1670897</v>
      </c>
      <c r="H103" s="130">
        <f t="shared" si="14"/>
        <v>223541.48718559963</v>
      </c>
      <c r="I103" s="139">
        <f t="shared" si="15"/>
        <v>223541.48718559963</v>
      </c>
      <c r="J103" s="665">
        <f t="shared" si="16"/>
        <v>0</v>
      </c>
      <c r="K103" s="665"/>
      <c r="L103" s="132"/>
      <c r="M103" s="665">
        <f t="shared" si="11"/>
        <v>0</v>
      </c>
      <c r="N103" s="132"/>
      <c r="O103" s="665">
        <f t="shared" si="12"/>
        <v>0</v>
      </c>
      <c r="P103" s="665">
        <f t="shared" si="13"/>
        <v>0</v>
      </c>
    </row>
    <row r="104" spans="1:16">
      <c r="B104" s="9" t="str">
        <f t="shared" si="20"/>
        <v/>
      </c>
      <c r="C104" s="658">
        <f>IF(D93="","-",+C103+1)</f>
        <v>2026</v>
      </c>
      <c r="D104" s="659">
        <f>IF(F103+SUM(E$99:E103)=D$92,F103,D$92-SUM(E$99:E103))</f>
        <v>1649197</v>
      </c>
      <c r="E104" s="69">
        <f t="shared" si="21"/>
        <v>43400</v>
      </c>
      <c r="F104" s="660">
        <f t="shared" si="22"/>
        <v>1605797</v>
      </c>
      <c r="G104" s="660">
        <f t="shared" si="23"/>
        <v>1627497</v>
      </c>
      <c r="H104" s="130">
        <f t="shared" si="14"/>
        <v>218862.47911756492</v>
      </c>
      <c r="I104" s="139">
        <f t="shared" si="15"/>
        <v>218862.47911756492</v>
      </c>
      <c r="J104" s="665">
        <f t="shared" si="16"/>
        <v>0</v>
      </c>
      <c r="K104" s="665"/>
      <c r="L104" s="132"/>
      <c r="M104" s="665">
        <f t="shared" si="11"/>
        <v>0</v>
      </c>
      <c r="N104" s="132"/>
      <c r="O104" s="665">
        <f t="shared" si="12"/>
        <v>0</v>
      </c>
      <c r="P104" s="665">
        <f t="shared" si="13"/>
        <v>0</v>
      </c>
    </row>
    <row r="105" spans="1:16">
      <c r="B105" s="9" t="str">
        <f t="shared" si="20"/>
        <v/>
      </c>
      <c r="C105" s="658">
        <f>IF(D93="","-",+C104+1)</f>
        <v>2027</v>
      </c>
      <c r="D105" s="659">
        <f>IF(F104+SUM(E$99:E104)=D$92,F104,D$92-SUM(E$99:E104))</f>
        <v>1605797</v>
      </c>
      <c r="E105" s="69">
        <f t="shared" si="21"/>
        <v>43400</v>
      </c>
      <c r="F105" s="660">
        <f t="shared" si="22"/>
        <v>1562397</v>
      </c>
      <c r="G105" s="660">
        <f t="shared" si="23"/>
        <v>1584097</v>
      </c>
      <c r="H105" s="130">
        <f t="shared" si="14"/>
        <v>214183.4710495302</v>
      </c>
      <c r="I105" s="139">
        <f t="shared" si="15"/>
        <v>214183.4710495302</v>
      </c>
      <c r="J105" s="665">
        <f t="shared" si="16"/>
        <v>0</v>
      </c>
      <c r="K105" s="665"/>
      <c r="L105" s="132"/>
      <c r="M105" s="665">
        <f t="shared" si="11"/>
        <v>0</v>
      </c>
      <c r="N105" s="132"/>
      <c r="O105" s="665">
        <f t="shared" si="12"/>
        <v>0</v>
      </c>
      <c r="P105" s="665">
        <f t="shared" si="13"/>
        <v>0</v>
      </c>
    </row>
    <row r="106" spans="1:16">
      <c r="B106" s="9" t="str">
        <f t="shared" si="20"/>
        <v/>
      </c>
      <c r="C106" s="658">
        <f>IF(D93="","-",+C105+1)</f>
        <v>2028</v>
      </c>
      <c r="D106" s="659">
        <f>IF(F105+SUM(E$99:E105)=D$92,F105,D$92-SUM(E$99:E105))</f>
        <v>1562397</v>
      </c>
      <c r="E106" s="69">
        <f t="shared" si="21"/>
        <v>43400</v>
      </c>
      <c r="F106" s="660">
        <f t="shared" si="22"/>
        <v>1518997</v>
      </c>
      <c r="G106" s="660">
        <f t="shared" si="23"/>
        <v>1540697</v>
      </c>
      <c r="H106" s="130">
        <f t="shared" si="14"/>
        <v>209504.46298149545</v>
      </c>
      <c r="I106" s="139">
        <f t="shared" si="15"/>
        <v>209504.46298149545</v>
      </c>
      <c r="J106" s="665">
        <f t="shared" si="16"/>
        <v>0</v>
      </c>
      <c r="K106" s="665"/>
      <c r="L106" s="132"/>
      <c r="M106" s="665">
        <f t="shared" si="11"/>
        <v>0</v>
      </c>
      <c r="N106" s="132"/>
      <c r="O106" s="665">
        <f t="shared" si="12"/>
        <v>0</v>
      </c>
      <c r="P106" s="665">
        <f t="shared" si="13"/>
        <v>0</v>
      </c>
    </row>
    <row r="107" spans="1:16">
      <c r="B107" s="9" t="str">
        <f t="shared" si="20"/>
        <v/>
      </c>
      <c r="C107" s="658">
        <f>IF(D93="","-",+C106+1)</f>
        <v>2029</v>
      </c>
      <c r="D107" s="659">
        <f>IF(F106+SUM(E$99:E106)=D$92,F106,D$92-SUM(E$99:E106))</f>
        <v>1518997</v>
      </c>
      <c r="E107" s="69">
        <f t="shared" si="21"/>
        <v>43400</v>
      </c>
      <c r="F107" s="660">
        <f t="shared" si="22"/>
        <v>1475597</v>
      </c>
      <c r="G107" s="660">
        <f t="shared" si="23"/>
        <v>1497297</v>
      </c>
      <c r="H107" s="130">
        <f t="shared" si="14"/>
        <v>204825.45491346074</v>
      </c>
      <c r="I107" s="139">
        <f t="shared" si="15"/>
        <v>204825.45491346074</v>
      </c>
      <c r="J107" s="665">
        <f t="shared" si="16"/>
        <v>0</v>
      </c>
      <c r="K107" s="665"/>
      <c r="L107" s="132"/>
      <c r="M107" s="665">
        <f t="shared" si="11"/>
        <v>0</v>
      </c>
      <c r="N107" s="132"/>
      <c r="O107" s="665">
        <f t="shared" si="12"/>
        <v>0</v>
      </c>
      <c r="P107" s="665">
        <f t="shared" si="13"/>
        <v>0</v>
      </c>
    </row>
    <row r="108" spans="1:16">
      <c r="B108" s="9" t="str">
        <f t="shared" si="20"/>
        <v/>
      </c>
      <c r="C108" s="658">
        <f>IF(D93="","-",+C107+1)</f>
        <v>2030</v>
      </c>
      <c r="D108" s="659">
        <f>IF(F107+SUM(E$99:E107)=D$92,F107,D$92-SUM(E$99:E107))</f>
        <v>1475597</v>
      </c>
      <c r="E108" s="69">
        <f t="shared" si="21"/>
        <v>43400</v>
      </c>
      <c r="F108" s="660">
        <f t="shared" si="22"/>
        <v>1432197</v>
      </c>
      <c r="G108" s="660">
        <f t="shared" si="23"/>
        <v>1453897</v>
      </c>
      <c r="H108" s="130">
        <f t="shared" si="14"/>
        <v>200146.44684542599</v>
      </c>
      <c r="I108" s="139">
        <f t="shared" si="15"/>
        <v>200146.44684542599</v>
      </c>
      <c r="J108" s="665">
        <f t="shared" si="16"/>
        <v>0</v>
      </c>
      <c r="K108" s="665"/>
      <c r="L108" s="132"/>
      <c r="M108" s="665">
        <f t="shared" si="11"/>
        <v>0</v>
      </c>
      <c r="N108" s="132"/>
      <c r="O108" s="665">
        <f t="shared" si="12"/>
        <v>0</v>
      </c>
      <c r="P108" s="665">
        <f t="shared" si="13"/>
        <v>0</v>
      </c>
    </row>
    <row r="109" spans="1:16">
      <c r="B109" s="9" t="str">
        <f t="shared" si="20"/>
        <v/>
      </c>
      <c r="C109" s="658">
        <f>IF(D93="","-",+C108+1)</f>
        <v>2031</v>
      </c>
      <c r="D109" s="659">
        <f>IF(F108+SUM(E$99:E108)=D$92,F108,D$92-SUM(E$99:E108))</f>
        <v>1432197</v>
      </c>
      <c r="E109" s="69">
        <f t="shared" si="21"/>
        <v>43400</v>
      </c>
      <c r="F109" s="660">
        <f t="shared" si="22"/>
        <v>1388797</v>
      </c>
      <c r="G109" s="660">
        <f t="shared" si="23"/>
        <v>1410497</v>
      </c>
      <c r="H109" s="130">
        <f t="shared" si="14"/>
        <v>195467.43877739127</v>
      </c>
      <c r="I109" s="139">
        <f t="shared" si="15"/>
        <v>195467.43877739127</v>
      </c>
      <c r="J109" s="665">
        <f t="shared" si="16"/>
        <v>0</v>
      </c>
      <c r="K109" s="665"/>
      <c r="L109" s="132"/>
      <c r="M109" s="665">
        <f t="shared" si="11"/>
        <v>0</v>
      </c>
      <c r="N109" s="132"/>
      <c r="O109" s="665">
        <f t="shared" si="12"/>
        <v>0</v>
      </c>
      <c r="P109" s="665">
        <f t="shared" si="13"/>
        <v>0</v>
      </c>
    </row>
    <row r="110" spans="1:16">
      <c r="B110" s="9" t="str">
        <f t="shared" si="20"/>
        <v/>
      </c>
      <c r="C110" s="658">
        <f>IF(D93="","-",+C109+1)</f>
        <v>2032</v>
      </c>
      <c r="D110" s="659">
        <f>IF(F109+SUM(E$99:E109)=D$92,F109,D$92-SUM(E$99:E109))</f>
        <v>1388797</v>
      </c>
      <c r="E110" s="69">
        <f t="shared" si="21"/>
        <v>43400</v>
      </c>
      <c r="F110" s="660">
        <f t="shared" si="22"/>
        <v>1345397</v>
      </c>
      <c r="G110" s="660">
        <f t="shared" si="23"/>
        <v>1367097</v>
      </c>
      <c r="H110" s="130">
        <f t="shared" si="14"/>
        <v>190788.43070935653</v>
      </c>
      <c r="I110" s="139">
        <f t="shared" si="15"/>
        <v>190788.43070935653</v>
      </c>
      <c r="J110" s="665">
        <f t="shared" si="16"/>
        <v>0</v>
      </c>
      <c r="K110" s="665"/>
      <c r="L110" s="132"/>
      <c r="M110" s="665">
        <f t="shared" si="11"/>
        <v>0</v>
      </c>
      <c r="N110" s="132"/>
      <c r="O110" s="665">
        <f t="shared" si="12"/>
        <v>0</v>
      </c>
      <c r="P110" s="665">
        <f t="shared" si="13"/>
        <v>0</v>
      </c>
    </row>
    <row r="111" spans="1:16">
      <c r="B111" s="9" t="str">
        <f t="shared" si="20"/>
        <v/>
      </c>
      <c r="C111" s="658">
        <f>IF(D93="","-",+C110+1)</f>
        <v>2033</v>
      </c>
      <c r="D111" s="659">
        <f>IF(F110+SUM(E$99:E110)=D$92,F110,D$92-SUM(E$99:E110))</f>
        <v>1345397</v>
      </c>
      <c r="E111" s="69">
        <f t="shared" si="21"/>
        <v>43400</v>
      </c>
      <c r="F111" s="660">
        <f t="shared" si="22"/>
        <v>1301997</v>
      </c>
      <c r="G111" s="660">
        <f t="shared" si="23"/>
        <v>1323697</v>
      </c>
      <c r="H111" s="130">
        <f t="shared" si="14"/>
        <v>186109.42264132181</v>
      </c>
      <c r="I111" s="139">
        <f t="shared" si="15"/>
        <v>186109.42264132181</v>
      </c>
      <c r="J111" s="665">
        <f t="shared" si="16"/>
        <v>0</v>
      </c>
      <c r="K111" s="665"/>
      <c r="L111" s="132"/>
      <c r="M111" s="665">
        <f t="shared" si="11"/>
        <v>0</v>
      </c>
      <c r="N111" s="132"/>
      <c r="O111" s="665">
        <f t="shared" si="12"/>
        <v>0</v>
      </c>
      <c r="P111" s="665">
        <f t="shared" si="13"/>
        <v>0</v>
      </c>
    </row>
    <row r="112" spans="1:16">
      <c r="B112" s="9" t="str">
        <f t="shared" si="20"/>
        <v/>
      </c>
      <c r="C112" s="658">
        <f>IF(D93="","-",+C111+1)</f>
        <v>2034</v>
      </c>
      <c r="D112" s="659">
        <f>IF(F111+SUM(E$99:E111)=D$92,F111,D$92-SUM(E$99:E111))</f>
        <v>1301997</v>
      </c>
      <c r="E112" s="69">
        <f t="shared" si="21"/>
        <v>43400</v>
      </c>
      <c r="F112" s="660">
        <f t="shared" si="22"/>
        <v>1258597</v>
      </c>
      <c r="G112" s="660">
        <f t="shared" si="23"/>
        <v>1280297</v>
      </c>
      <c r="H112" s="130">
        <f t="shared" si="14"/>
        <v>181430.4145732871</v>
      </c>
      <c r="I112" s="139">
        <f t="shared" si="15"/>
        <v>181430.4145732871</v>
      </c>
      <c r="J112" s="665">
        <f t="shared" si="16"/>
        <v>0</v>
      </c>
      <c r="K112" s="665"/>
      <c r="L112" s="132"/>
      <c r="M112" s="665">
        <f t="shared" si="11"/>
        <v>0</v>
      </c>
      <c r="N112" s="132"/>
      <c r="O112" s="665">
        <f t="shared" si="12"/>
        <v>0</v>
      </c>
      <c r="P112" s="665">
        <f t="shared" si="13"/>
        <v>0</v>
      </c>
    </row>
    <row r="113" spans="2:16">
      <c r="B113" s="9" t="str">
        <f t="shared" si="20"/>
        <v/>
      </c>
      <c r="C113" s="658">
        <f>IF(D93="","-",+C112+1)</f>
        <v>2035</v>
      </c>
      <c r="D113" s="659">
        <f>IF(F112+SUM(E$99:E112)=D$92,F112,D$92-SUM(E$99:E112))</f>
        <v>1258597</v>
      </c>
      <c r="E113" s="69">
        <f t="shared" si="21"/>
        <v>43400</v>
      </c>
      <c r="F113" s="660">
        <f t="shared" si="22"/>
        <v>1215197</v>
      </c>
      <c r="G113" s="660">
        <f t="shared" si="23"/>
        <v>1236897</v>
      </c>
      <c r="H113" s="130">
        <f t="shared" si="14"/>
        <v>176751.40650525235</v>
      </c>
      <c r="I113" s="139">
        <f t="shared" si="15"/>
        <v>176751.40650525235</v>
      </c>
      <c r="J113" s="665">
        <f t="shared" si="16"/>
        <v>0</v>
      </c>
      <c r="K113" s="665"/>
      <c r="L113" s="132"/>
      <c r="M113" s="665">
        <f t="shared" si="11"/>
        <v>0</v>
      </c>
      <c r="N113" s="132"/>
      <c r="O113" s="665">
        <f t="shared" si="12"/>
        <v>0</v>
      </c>
      <c r="P113" s="665">
        <f t="shared" si="13"/>
        <v>0</v>
      </c>
    </row>
    <row r="114" spans="2:16">
      <c r="B114" s="9" t="str">
        <f t="shared" si="20"/>
        <v/>
      </c>
      <c r="C114" s="658">
        <f>IF(D93="","-",+C113+1)</f>
        <v>2036</v>
      </c>
      <c r="D114" s="659">
        <f>IF(F113+SUM(E$99:E113)=D$92,F113,D$92-SUM(E$99:E113))</f>
        <v>1215197</v>
      </c>
      <c r="E114" s="69">
        <f t="shared" si="21"/>
        <v>43400</v>
      </c>
      <c r="F114" s="660">
        <f t="shared" si="22"/>
        <v>1171797</v>
      </c>
      <c r="G114" s="660">
        <f t="shared" si="23"/>
        <v>1193497</v>
      </c>
      <c r="H114" s="130">
        <f t="shared" si="14"/>
        <v>172072.39843721763</v>
      </c>
      <c r="I114" s="139">
        <f t="shared" si="15"/>
        <v>172072.39843721763</v>
      </c>
      <c r="J114" s="665">
        <f t="shared" si="16"/>
        <v>0</v>
      </c>
      <c r="K114" s="665"/>
      <c r="L114" s="132"/>
      <c r="M114" s="665">
        <f t="shared" si="11"/>
        <v>0</v>
      </c>
      <c r="N114" s="132"/>
      <c r="O114" s="665">
        <f t="shared" si="12"/>
        <v>0</v>
      </c>
      <c r="P114" s="665">
        <f t="shared" si="13"/>
        <v>0</v>
      </c>
    </row>
    <row r="115" spans="2:16">
      <c r="B115" s="9" t="str">
        <f t="shared" si="20"/>
        <v/>
      </c>
      <c r="C115" s="658">
        <f>IF(D93="","-",+C114+1)</f>
        <v>2037</v>
      </c>
      <c r="D115" s="659">
        <f>IF(F114+SUM(E$99:E114)=D$92,F114,D$92-SUM(E$99:E114))</f>
        <v>1171797</v>
      </c>
      <c r="E115" s="69">
        <f t="shared" si="21"/>
        <v>43400</v>
      </c>
      <c r="F115" s="660">
        <f t="shared" si="22"/>
        <v>1128397</v>
      </c>
      <c r="G115" s="660">
        <f t="shared" si="23"/>
        <v>1150097</v>
      </c>
      <c r="H115" s="130">
        <f t="shared" si="14"/>
        <v>167393.39036918292</v>
      </c>
      <c r="I115" s="139">
        <f t="shared" si="15"/>
        <v>167393.39036918292</v>
      </c>
      <c r="J115" s="665">
        <f t="shared" si="16"/>
        <v>0</v>
      </c>
      <c r="K115" s="665"/>
      <c r="L115" s="132"/>
      <c r="M115" s="665">
        <f t="shared" si="11"/>
        <v>0</v>
      </c>
      <c r="N115" s="132"/>
      <c r="O115" s="665">
        <f t="shared" si="12"/>
        <v>0</v>
      </c>
      <c r="P115" s="665">
        <f t="shared" si="13"/>
        <v>0</v>
      </c>
    </row>
    <row r="116" spans="2:16">
      <c r="B116" s="9" t="str">
        <f t="shared" si="20"/>
        <v/>
      </c>
      <c r="C116" s="658">
        <f>IF(D93="","-",+C115+1)</f>
        <v>2038</v>
      </c>
      <c r="D116" s="659">
        <f>IF(F115+SUM(E$99:E115)=D$92,F115,D$92-SUM(E$99:E115))</f>
        <v>1128397</v>
      </c>
      <c r="E116" s="69">
        <f t="shared" si="21"/>
        <v>43400</v>
      </c>
      <c r="F116" s="660">
        <f t="shared" si="22"/>
        <v>1084997</v>
      </c>
      <c r="G116" s="660">
        <f t="shared" si="23"/>
        <v>1106697</v>
      </c>
      <c r="H116" s="130">
        <f t="shared" si="14"/>
        <v>162714.38230114817</v>
      </c>
      <c r="I116" s="139">
        <f t="shared" si="15"/>
        <v>162714.38230114817</v>
      </c>
      <c r="J116" s="665">
        <f t="shared" si="16"/>
        <v>0</v>
      </c>
      <c r="K116" s="665"/>
      <c r="L116" s="132"/>
      <c r="M116" s="665">
        <f t="shared" si="11"/>
        <v>0</v>
      </c>
      <c r="N116" s="132"/>
      <c r="O116" s="665">
        <f t="shared" si="12"/>
        <v>0</v>
      </c>
      <c r="P116" s="665">
        <f t="shared" si="13"/>
        <v>0</v>
      </c>
    </row>
    <row r="117" spans="2:16">
      <c r="B117" s="9" t="str">
        <f t="shared" si="20"/>
        <v/>
      </c>
      <c r="C117" s="658">
        <f>IF(D93="","-",+C116+1)</f>
        <v>2039</v>
      </c>
      <c r="D117" s="659">
        <f>IF(F116+SUM(E$99:E116)=D$92,F116,D$92-SUM(E$99:E116))</f>
        <v>1084997</v>
      </c>
      <c r="E117" s="69">
        <f t="shared" si="21"/>
        <v>43400</v>
      </c>
      <c r="F117" s="660">
        <f t="shared" si="22"/>
        <v>1041597</v>
      </c>
      <c r="G117" s="660">
        <f t="shared" si="23"/>
        <v>1063297</v>
      </c>
      <c r="H117" s="130">
        <f t="shared" si="14"/>
        <v>158035.37423311343</v>
      </c>
      <c r="I117" s="139">
        <f t="shared" si="15"/>
        <v>158035.37423311343</v>
      </c>
      <c r="J117" s="665">
        <f t="shared" si="16"/>
        <v>0</v>
      </c>
      <c r="K117" s="665"/>
      <c r="L117" s="132"/>
      <c r="M117" s="665">
        <f t="shared" si="11"/>
        <v>0</v>
      </c>
      <c r="N117" s="132"/>
      <c r="O117" s="665">
        <f t="shared" si="12"/>
        <v>0</v>
      </c>
      <c r="P117" s="665">
        <f t="shared" si="13"/>
        <v>0</v>
      </c>
    </row>
    <row r="118" spans="2:16">
      <c r="B118" s="9" t="str">
        <f t="shared" si="20"/>
        <v/>
      </c>
      <c r="C118" s="658">
        <f>IF(D93="","-",+C117+1)</f>
        <v>2040</v>
      </c>
      <c r="D118" s="659">
        <f>IF(F117+SUM(E$99:E117)=D$92,F117,D$92-SUM(E$99:E117))</f>
        <v>1041597</v>
      </c>
      <c r="E118" s="69">
        <f t="shared" si="21"/>
        <v>43400</v>
      </c>
      <c r="F118" s="660">
        <f t="shared" si="22"/>
        <v>998197</v>
      </c>
      <c r="G118" s="660">
        <f t="shared" si="23"/>
        <v>1019897</v>
      </c>
      <c r="H118" s="130">
        <f t="shared" si="14"/>
        <v>153356.36616507871</v>
      </c>
      <c r="I118" s="139">
        <f t="shared" si="15"/>
        <v>153356.36616507871</v>
      </c>
      <c r="J118" s="665">
        <f t="shared" si="16"/>
        <v>0</v>
      </c>
      <c r="K118" s="665"/>
      <c r="L118" s="132"/>
      <c r="M118" s="665">
        <f t="shared" si="11"/>
        <v>0</v>
      </c>
      <c r="N118" s="132"/>
      <c r="O118" s="665">
        <f t="shared" si="12"/>
        <v>0</v>
      </c>
      <c r="P118" s="665">
        <f t="shared" si="13"/>
        <v>0</v>
      </c>
    </row>
    <row r="119" spans="2:16">
      <c r="B119" s="9" t="str">
        <f t="shared" si="20"/>
        <v/>
      </c>
      <c r="C119" s="658">
        <f>IF(D93="","-",+C118+1)</f>
        <v>2041</v>
      </c>
      <c r="D119" s="659">
        <f>IF(F118+SUM(E$99:E118)=D$92,F118,D$92-SUM(E$99:E118))</f>
        <v>998197</v>
      </c>
      <c r="E119" s="69">
        <f t="shared" si="21"/>
        <v>43400</v>
      </c>
      <c r="F119" s="660">
        <f t="shared" si="22"/>
        <v>954797</v>
      </c>
      <c r="G119" s="660">
        <f t="shared" si="23"/>
        <v>976497</v>
      </c>
      <c r="H119" s="130">
        <f t="shared" si="14"/>
        <v>148677.35809704399</v>
      </c>
      <c r="I119" s="139">
        <f t="shared" si="15"/>
        <v>148677.35809704399</v>
      </c>
      <c r="J119" s="665">
        <f t="shared" si="16"/>
        <v>0</v>
      </c>
      <c r="K119" s="665"/>
      <c r="L119" s="132"/>
      <c r="M119" s="665">
        <f t="shared" si="11"/>
        <v>0</v>
      </c>
      <c r="N119" s="132"/>
      <c r="O119" s="665">
        <f t="shared" si="12"/>
        <v>0</v>
      </c>
      <c r="P119" s="665">
        <f t="shared" si="13"/>
        <v>0</v>
      </c>
    </row>
    <row r="120" spans="2:16">
      <c r="B120" s="9" t="str">
        <f t="shared" si="20"/>
        <v/>
      </c>
      <c r="C120" s="658">
        <f>IF(D93="","-",+C119+1)</f>
        <v>2042</v>
      </c>
      <c r="D120" s="659">
        <f>IF(F119+SUM(E$99:E119)=D$92,F119,D$92-SUM(E$99:E119))</f>
        <v>954797</v>
      </c>
      <c r="E120" s="69">
        <f t="shared" si="21"/>
        <v>43400</v>
      </c>
      <c r="F120" s="660">
        <f t="shared" si="22"/>
        <v>911397</v>
      </c>
      <c r="G120" s="660">
        <f t="shared" si="23"/>
        <v>933097</v>
      </c>
      <c r="H120" s="130">
        <f t="shared" si="14"/>
        <v>143998.35002900925</v>
      </c>
      <c r="I120" s="139">
        <f t="shared" si="15"/>
        <v>143998.35002900925</v>
      </c>
      <c r="J120" s="665">
        <f t="shared" si="16"/>
        <v>0</v>
      </c>
      <c r="K120" s="665"/>
      <c r="L120" s="132"/>
      <c r="M120" s="665">
        <f t="shared" si="11"/>
        <v>0</v>
      </c>
      <c r="N120" s="132"/>
      <c r="O120" s="665">
        <f t="shared" si="12"/>
        <v>0</v>
      </c>
      <c r="P120" s="665">
        <f t="shared" si="13"/>
        <v>0</v>
      </c>
    </row>
    <row r="121" spans="2:16">
      <c r="B121" s="9" t="str">
        <f t="shared" si="20"/>
        <v/>
      </c>
      <c r="C121" s="658">
        <f>IF(D93="","-",+C120+1)</f>
        <v>2043</v>
      </c>
      <c r="D121" s="659">
        <f>IF(F120+SUM(E$99:E120)=D$92,F120,D$92-SUM(E$99:E120))</f>
        <v>911397</v>
      </c>
      <c r="E121" s="69">
        <f t="shared" si="21"/>
        <v>43400</v>
      </c>
      <c r="F121" s="660">
        <f t="shared" si="22"/>
        <v>867997</v>
      </c>
      <c r="G121" s="660">
        <f t="shared" si="23"/>
        <v>889697</v>
      </c>
      <c r="H121" s="130">
        <f t="shared" si="14"/>
        <v>139319.3419609745</v>
      </c>
      <c r="I121" s="139">
        <f t="shared" si="15"/>
        <v>139319.3419609745</v>
      </c>
      <c r="J121" s="665">
        <f t="shared" si="16"/>
        <v>0</v>
      </c>
      <c r="K121" s="665"/>
      <c r="L121" s="132"/>
      <c r="M121" s="665">
        <f t="shared" si="11"/>
        <v>0</v>
      </c>
      <c r="N121" s="132"/>
      <c r="O121" s="665">
        <f t="shared" si="12"/>
        <v>0</v>
      </c>
      <c r="P121" s="665">
        <f t="shared" si="13"/>
        <v>0</v>
      </c>
    </row>
    <row r="122" spans="2:16">
      <c r="B122" s="9" t="str">
        <f t="shared" si="20"/>
        <v/>
      </c>
      <c r="C122" s="658">
        <f>IF(D93="","-",+C121+1)</f>
        <v>2044</v>
      </c>
      <c r="D122" s="659">
        <f>IF(F121+SUM(E$99:E121)=D$92,F121,D$92-SUM(E$99:E121))</f>
        <v>867997</v>
      </c>
      <c r="E122" s="69">
        <f t="shared" si="21"/>
        <v>43400</v>
      </c>
      <c r="F122" s="660">
        <f t="shared" si="22"/>
        <v>824597</v>
      </c>
      <c r="G122" s="660">
        <f t="shared" si="23"/>
        <v>846297</v>
      </c>
      <c r="H122" s="130">
        <f t="shared" si="14"/>
        <v>134640.33389293979</v>
      </c>
      <c r="I122" s="139">
        <f t="shared" si="15"/>
        <v>134640.33389293979</v>
      </c>
      <c r="J122" s="665">
        <f t="shared" si="16"/>
        <v>0</v>
      </c>
      <c r="K122" s="665"/>
      <c r="L122" s="132"/>
      <c r="M122" s="665">
        <f t="shared" si="11"/>
        <v>0</v>
      </c>
      <c r="N122" s="132"/>
      <c r="O122" s="665">
        <f t="shared" si="12"/>
        <v>0</v>
      </c>
      <c r="P122" s="665">
        <f t="shared" si="13"/>
        <v>0</v>
      </c>
    </row>
    <row r="123" spans="2:16">
      <c r="B123" s="9" t="str">
        <f t="shared" si="20"/>
        <v/>
      </c>
      <c r="C123" s="658">
        <f>IF(D93="","-",+C122+1)</f>
        <v>2045</v>
      </c>
      <c r="D123" s="659">
        <f>IF(F122+SUM(E$99:E122)=D$92,F122,D$92-SUM(E$99:E122))</f>
        <v>824597</v>
      </c>
      <c r="E123" s="69">
        <f t="shared" si="21"/>
        <v>43400</v>
      </c>
      <c r="F123" s="660">
        <f t="shared" si="22"/>
        <v>781197</v>
      </c>
      <c r="G123" s="660">
        <f t="shared" si="23"/>
        <v>802897</v>
      </c>
      <c r="H123" s="130">
        <f t="shared" si="14"/>
        <v>129961.32582490507</v>
      </c>
      <c r="I123" s="139">
        <f t="shared" si="15"/>
        <v>129961.32582490507</v>
      </c>
      <c r="J123" s="665">
        <f t="shared" si="16"/>
        <v>0</v>
      </c>
      <c r="K123" s="665"/>
      <c r="L123" s="132"/>
      <c r="M123" s="665">
        <f t="shared" si="11"/>
        <v>0</v>
      </c>
      <c r="N123" s="132"/>
      <c r="O123" s="665">
        <f t="shared" si="12"/>
        <v>0</v>
      </c>
      <c r="P123" s="665">
        <f t="shared" si="13"/>
        <v>0</v>
      </c>
    </row>
    <row r="124" spans="2:16">
      <c r="B124" s="9" t="str">
        <f t="shared" si="20"/>
        <v/>
      </c>
      <c r="C124" s="658">
        <f>IF(D93="","-",+C123+1)</f>
        <v>2046</v>
      </c>
      <c r="D124" s="659">
        <f>IF(F123+SUM(E$99:E123)=D$92,F123,D$92-SUM(E$99:E123))</f>
        <v>781197</v>
      </c>
      <c r="E124" s="69">
        <f t="shared" si="21"/>
        <v>43400</v>
      </c>
      <c r="F124" s="660">
        <f t="shared" si="22"/>
        <v>737797</v>
      </c>
      <c r="G124" s="660">
        <f t="shared" si="23"/>
        <v>759497</v>
      </c>
      <c r="H124" s="130">
        <f t="shared" si="14"/>
        <v>125282.31775687034</v>
      </c>
      <c r="I124" s="139">
        <f t="shared" si="15"/>
        <v>125282.31775687034</v>
      </c>
      <c r="J124" s="665">
        <f t="shared" si="16"/>
        <v>0</v>
      </c>
      <c r="K124" s="665"/>
      <c r="L124" s="132"/>
      <c r="M124" s="665">
        <f t="shared" si="11"/>
        <v>0</v>
      </c>
      <c r="N124" s="132"/>
      <c r="O124" s="665">
        <f t="shared" si="12"/>
        <v>0</v>
      </c>
      <c r="P124" s="665">
        <f t="shared" si="13"/>
        <v>0</v>
      </c>
    </row>
    <row r="125" spans="2:16">
      <c r="B125" s="9" t="str">
        <f t="shared" si="20"/>
        <v/>
      </c>
      <c r="C125" s="658">
        <f>IF(D93="","-",+C124+1)</f>
        <v>2047</v>
      </c>
      <c r="D125" s="659">
        <f>IF(F124+SUM(E$99:E124)=D$92,F124,D$92-SUM(E$99:E124))</f>
        <v>737797</v>
      </c>
      <c r="E125" s="69">
        <f t="shared" si="21"/>
        <v>43400</v>
      </c>
      <c r="F125" s="660">
        <f t="shared" si="22"/>
        <v>694397</v>
      </c>
      <c r="G125" s="660">
        <f t="shared" si="23"/>
        <v>716097</v>
      </c>
      <c r="H125" s="130">
        <f t="shared" si="14"/>
        <v>120603.30968883561</v>
      </c>
      <c r="I125" s="139">
        <f t="shared" si="15"/>
        <v>120603.30968883561</v>
      </c>
      <c r="J125" s="665">
        <f t="shared" si="16"/>
        <v>0</v>
      </c>
      <c r="K125" s="665"/>
      <c r="L125" s="132"/>
      <c r="M125" s="665">
        <f t="shared" si="11"/>
        <v>0</v>
      </c>
      <c r="N125" s="132"/>
      <c r="O125" s="665">
        <f t="shared" si="12"/>
        <v>0</v>
      </c>
      <c r="P125" s="665">
        <f t="shared" si="13"/>
        <v>0</v>
      </c>
    </row>
    <row r="126" spans="2:16">
      <c r="B126" s="9" t="str">
        <f t="shared" si="20"/>
        <v/>
      </c>
      <c r="C126" s="658">
        <f>IF(D93="","-",+C125+1)</f>
        <v>2048</v>
      </c>
      <c r="D126" s="659">
        <f>IF(F125+SUM(E$99:E125)=D$92,F125,D$92-SUM(E$99:E125))</f>
        <v>694397</v>
      </c>
      <c r="E126" s="69">
        <f t="shared" si="21"/>
        <v>43400</v>
      </c>
      <c r="F126" s="660">
        <f t="shared" si="22"/>
        <v>650997</v>
      </c>
      <c r="G126" s="660">
        <f t="shared" si="23"/>
        <v>672697</v>
      </c>
      <c r="H126" s="130">
        <f t="shared" si="14"/>
        <v>115924.30162080088</v>
      </c>
      <c r="I126" s="139">
        <f t="shared" si="15"/>
        <v>115924.30162080088</v>
      </c>
      <c r="J126" s="665">
        <f t="shared" si="16"/>
        <v>0</v>
      </c>
      <c r="K126" s="665"/>
      <c r="L126" s="132"/>
      <c r="M126" s="665">
        <f t="shared" si="11"/>
        <v>0</v>
      </c>
      <c r="N126" s="132"/>
      <c r="O126" s="665">
        <f t="shared" si="12"/>
        <v>0</v>
      </c>
      <c r="P126" s="665">
        <f t="shared" si="13"/>
        <v>0</v>
      </c>
    </row>
    <row r="127" spans="2:16">
      <c r="B127" s="9" t="str">
        <f t="shared" si="20"/>
        <v/>
      </c>
      <c r="C127" s="658">
        <f>IF(D93="","-",+C126+1)</f>
        <v>2049</v>
      </c>
      <c r="D127" s="659">
        <f>IF(F126+SUM(E$99:E126)=D$92,F126,D$92-SUM(E$99:E126))</f>
        <v>650997</v>
      </c>
      <c r="E127" s="69">
        <f t="shared" si="21"/>
        <v>43400</v>
      </c>
      <c r="F127" s="660">
        <f t="shared" si="22"/>
        <v>607597</v>
      </c>
      <c r="G127" s="660">
        <f t="shared" si="23"/>
        <v>629297</v>
      </c>
      <c r="H127" s="130">
        <f t="shared" si="14"/>
        <v>111245.29355276615</v>
      </c>
      <c r="I127" s="139">
        <f t="shared" si="15"/>
        <v>111245.29355276615</v>
      </c>
      <c r="J127" s="665">
        <f t="shared" si="16"/>
        <v>0</v>
      </c>
      <c r="K127" s="665"/>
      <c r="L127" s="132"/>
      <c r="M127" s="665">
        <f t="shared" si="11"/>
        <v>0</v>
      </c>
      <c r="N127" s="132"/>
      <c r="O127" s="665">
        <f t="shared" si="12"/>
        <v>0</v>
      </c>
      <c r="P127" s="665">
        <f t="shared" si="13"/>
        <v>0</v>
      </c>
    </row>
    <row r="128" spans="2:16">
      <c r="B128" s="9" t="str">
        <f t="shared" si="20"/>
        <v/>
      </c>
      <c r="C128" s="658">
        <f>IF(D93="","-",+C127+1)</f>
        <v>2050</v>
      </c>
      <c r="D128" s="659">
        <f>IF(F127+SUM(E$99:E127)=D$92,F127,D$92-SUM(E$99:E127))</f>
        <v>607597</v>
      </c>
      <c r="E128" s="69">
        <f t="shared" si="21"/>
        <v>43400</v>
      </c>
      <c r="F128" s="660">
        <f t="shared" si="22"/>
        <v>564197</v>
      </c>
      <c r="G128" s="660">
        <f t="shared" si="23"/>
        <v>585897</v>
      </c>
      <c r="H128" s="130">
        <f t="shared" si="14"/>
        <v>106566.28548473143</v>
      </c>
      <c r="I128" s="139">
        <f t="shared" si="15"/>
        <v>106566.28548473143</v>
      </c>
      <c r="J128" s="665">
        <f t="shared" si="16"/>
        <v>0</v>
      </c>
      <c r="K128" s="665"/>
      <c r="L128" s="132"/>
      <c r="M128" s="665">
        <f t="shared" si="11"/>
        <v>0</v>
      </c>
      <c r="N128" s="132"/>
      <c r="O128" s="665">
        <f t="shared" si="12"/>
        <v>0</v>
      </c>
      <c r="P128" s="665">
        <f t="shared" si="13"/>
        <v>0</v>
      </c>
    </row>
    <row r="129" spans="2:16">
      <c r="B129" s="9" t="str">
        <f t="shared" si="20"/>
        <v/>
      </c>
      <c r="C129" s="658">
        <f>IF(D93="","-",+C128+1)</f>
        <v>2051</v>
      </c>
      <c r="D129" s="659">
        <f>IF(F128+SUM(E$99:E128)=D$92,F128,D$92-SUM(E$99:E128))</f>
        <v>564197</v>
      </c>
      <c r="E129" s="69">
        <f t="shared" si="21"/>
        <v>43400</v>
      </c>
      <c r="F129" s="660">
        <f t="shared" si="22"/>
        <v>520797</v>
      </c>
      <c r="G129" s="660">
        <f t="shared" si="23"/>
        <v>542497</v>
      </c>
      <c r="H129" s="130">
        <f t="shared" si="14"/>
        <v>101887.27741669668</v>
      </c>
      <c r="I129" s="139">
        <f t="shared" si="15"/>
        <v>101887.27741669668</v>
      </c>
      <c r="J129" s="665">
        <f t="shared" si="16"/>
        <v>0</v>
      </c>
      <c r="K129" s="665"/>
      <c r="L129" s="132"/>
      <c r="M129" s="665">
        <f t="shared" si="11"/>
        <v>0</v>
      </c>
      <c r="N129" s="132"/>
      <c r="O129" s="665">
        <f t="shared" si="12"/>
        <v>0</v>
      </c>
      <c r="P129" s="665">
        <f t="shared" si="13"/>
        <v>0</v>
      </c>
    </row>
    <row r="130" spans="2:16">
      <c r="B130" s="9" t="str">
        <f t="shared" si="20"/>
        <v/>
      </c>
      <c r="C130" s="658">
        <f>IF(D93="","-",+C129+1)</f>
        <v>2052</v>
      </c>
      <c r="D130" s="659">
        <f>IF(F129+SUM(E$99:E129)=D$92,F129,D$92-SUM(E$99:E129))</f>
        <v>520797</v>
      </c>
      <c r="E130" s="69">
        <f t="shared" si="21"/>
        <v>43400</v>
      </c>
      <c r="F130" s="660">
        <f t="shared" si="22"/>
        <v>477397</v>
      </c>
      <c r="G130" s="660">
        <f t="shared" si="23"/>
        <v>499097</v>
      </c>
      <c r="H130" s="130">
        <f t="shared" si="14"/>
        <v>97208.269348661968</v>
      </c>
      <c r="I130" s="139">
        <f t="shared" si="15"/>
        <v>97208.269348661968</v>
      </c>
      <c r="J130" s="665">
        <f t="shared" si="16"/>
        <v>0</v>
      </c>
      <c r="K130" s="665"/>
      <c r="L130" s="132"/>
      <c r="M130" s="665">
        <f t="shared" si="11"/>
        <v>0</v>
      </c>
      <c r="N130" s="132"/>
      <c r="O130" s="665">
        <f t="shared" si="12"/>
        <v>0</v>
      </c>
      <c r="P130" s="665">
        <f t="shared" si="13"/>
        <v>0</v>
      </c>
    </row>
    <row r="131" spans="2:16">
      <c r="B131" s="9" t="str">
        <f t="shared" si="20"/>
        <v/>
      </c>
      <c r="C131" s="658">
        <f>IF(D93="","-",+C130+1)</f>
        <v>2053</v>
      </c>
      <c r="D131" s="659">
        <f>IF(F130+SUM(E$99:E130)=D$92,F130,D$92-SUM(E$99:E130))</f>
        <v>477397</v>
      </c>
      <c r="E131" s="69">
        <f t="shared" si="21"/>
        <v>43400</v>
      </c>
      <c r="F131" s="660">
        <f t="shared" si="22"/>
        <v>433997</v>
      </c>
      <c r="G131" s="660">
        <f t="shared" si="23"/>
        <v>455697</v>
      </c>
      <c r="H131" s="130">
        <f t="shared" si="14"/>
        <v>92529.261280627223</v>
      </c>
      <c r="I131" s="139">
        <f t="shared" si="15"/>
        <v>92529.261280627223</v>
      </c>
      <c r="J131" s="665">
        <f t="shared" ref="J131:J154" si="24">+I541-H541</f>
        <v>0</v>
      </c>
      <c r="K131" s="665"/>
      <c r="L131" s="132"/>
      <c r="M131" s="665">
        <f t="shared" ref="M131:M154" si="25">IF(L541&lt;&gt;0,+H541-L541,0)</f>
        <v>0</v>
      </c>
      <c r="N131" s="132"/>
      <c r="O131" s="665">
        <f t="shared" ref="O131:O154" si="26">IF(N541&lt;&gt;0,+I541-N541,0)</f>
        <v>0</v>
      </c>
      <c r="P131" s="665">
        <f t="shared" ref="P131:P154" si="27">+O541-M541</f>
        <v>0</v>
      </c>
    </row>
    <row r="132" spans="2:16">
      <c r="B132" s="9" t="str">
        <f t="shared" si="20"/>
        <v/>
      </c>
      <c r="C132" s="658">
        <f>IF(D93="","-",+C131+1)</f>
        <v>2054</v>
      </c>
      <c r="D132" s="659">
        <f>IF(F131+SUM(E$99:E131)=D$92,F131,D$92-SUM(E$99:E131))</f>
        <v>433997</v>
      </c>
      <c r="E132" s="69">
        <f t="shared" si="21"/>
        <v>43400</v>
      </c>
      <c r="F132" s="660">
        <f t="shared" si="22"/>
        <v>390597</v>
      </c>
      <c r="G132" s="660">
        <f t="shared" si="23"/>
        <v>412297</v>
      </c>
      <c r="H132" s="130">
        <f t="shared" si="14"/>
        <v>87850.253212592506</v>
      </c>
      <c r="I132" s="139">
        <f t="shared" si="15"/>
        <v>87850.253212592506</v>
      </c>
      <c r="J132" s="665">
        <f t="shared" si="24"/>
        <v>0</v>
      </c>
      <c r="K132" s="665"/>
      <c r="L132" s="132"/>
      <c r="M132" s="665">
        <f t="shared" si="25"/>
        <v>0</v>
      </c>
      <c r="N132" s="132"/>
      <c r="O132" s="665">
        <f t="shared" si="26"/>
        <v>0</v>
      </c>
      <c r="P132" s="665">
        <f t="shared" si="27"/>
        <v>0</v>
      </c>
    </row>
    <row r="133" spans="2:16">
      <c r="B133" s="9" t="str">
        <f t="shared" si="20"/>
        <v/>
      </c>
      <c r="C133" s="658">
        <f>IF(D93="","-",+C132+1)</f>
        <v>2055</v>
      </c>
      <c r="D133" s="659">
        <f>IF(F132+SUM(E$99:E132)=D$92,F132,D$92-SUM(E$99:E132))</f>
        <v>390597</v>
      </c>
      <c r="E133" s="69">
        <f t="shared" si="21"/>
        <v>43400</v>
      </c>
      <c r="F133" s="660">
        <f t="shared" si="22"/>
        <v>347197</v>
      </c>
      <c r="G133" s="660">
        <f t="shared" si="23"/>
        <v>368897</v>
      </c>
      <c r="H133" s="130">
        <f t="shared" si="14"/>
        <v>83171.245144557775</v>
      </c>
      <c r="I133" s="139">
        <f t="shared" si="15"/>
        <v>83171.245144557775</v>
      </c>
      <c r="J133" s="665">
        <f t="shared" si="24"/>
        <v>0</v>
      </c>
      <c r="K133" s="665"/>
      <c r="L133" s="132"/>
      <c r="M133" s="665">
        <f t="shared" si="25"/>
        <v>0</v>
      </c>
      <c r="N133" s="132"/>
      <c r="O133" s="665">
        <f t="shared" si="26"/>
        <v>0</v>
      </c>
      <c r="P133" s="665">
        <f t="shared" si="27"/>
        <v>0</v>
      </c>
    </row>
    <row r="134" spans="2:16">
      <c r="B134" s="9" t="str">
        <f t="shared" si="20"/>
        <v/>
      </c>
      <c r="C134" s="658">
        <f>IF(D93="","-",+C133+1)</f>
        <v>2056</v>
      </c>
      <c r="D134" s="659">
        <f>IF(F133+SUM(E$99:E133)=D$92,F133,D$92-SUM(E$99:E133))</f>
        <v>347197</v>
      </c>
      <c r="E134" s="69">
        <f t="shared" si="21"/>
        <v>43400</v>
      </c>
      <c r="F134" s="660">
        <f t="shared" si="22"/>
        <v>303797</v>
      </c>
      <c r="G134" s="660">
        <f t="shared" si="23"/>
        <v>325497</v>
      </c>
      <c r="H134" s="130">
        <f t="shared" si="14"/>
        <v>78492.237076523044</v>
      </c>
      <c r="I134" s="139">
        <f t="shared" si="15"/>
        <v>78492.237076523044</v>
      </c>
      <c r="J134" s="665">
        <f t="shared" si="24"/>
        <v>0</v>
      </c>
      <c r="K134" s="665"/>
      <c r="L134" s="132"/>
      <c r="M134" s="665">
        <f t="shared" si="25"/>
        <v>0</v>
      </c>
      <c r="N134" s="132"/>
      <c r="O134" s="665">
        <f t="shared" si="26"/>
        <v>0</v>
      </c>
      <c r="P134" s="665">
        <f t="shared" si="27"/>
        <v>0</v>
      </c>
    </row>
    <row r="135" spans="2:16">
      <c r="B135" s="9" t="str">
        <f t="shared" si="20"/>
        <v/>
      </c>
      <c r="C135" s="658">
        <f>IF(D93="","-",+C134+1)</f>
        <v>2057</v>
      </c>
      <c r="D135" s="659">
        <f>IF(F134+SUM(E$99:E134)=D$92,F134,D$92-SUM(E$99:E134))</f>
        <v>303797</v>
      </c>
      <c r="E135" s="69">
        <f t="shared" si="21"/>
        <v>43400</v>
      </c>
      <c r="F135" s="660">
        <f t="shared" si="22"/>
        <v>260397</v>
      </c>
      <c r="G135" s="660">
        <f t="shared" si="23"/>
        <v>282097</v>
      </c>
      <c r="H135" s="130">
        <f t="shared" si="14"/>
        <v>73813.229008488313</v>
      </c>
      <c r="I135" s="139">
        <f t="shared" si="15"/>
        <v>73813.229008488313</v>
      </c>
      <c r="J135" s="665">
        <f t="shared" si="24"/>
        <v>0</v>
      </c>
      <c r="K135" s="665"/>
      <c r="L135" s="132"/>
      <c r="M135" s="665">
        <f t="shared" si="25"/>
        <v>0</v>
      </c>
      <c r="N135" s="132"/>
      <c r="O135" s="665">
        <f t="shared" si="26"/>
        <v>0</v>
      </c>
      <c r="P135" s="665">
        <f t="shared" si="27"/>
        <v>0</v>
      </c>
    </row>
    <row r="136" spans="2:16">
      <c r="B136" s="9" t="str">
        <f t="shared" si="20"/>
        <v/>
      </c>
      <c r="C136" s="658">
        <f>IF(D93="","-",+C135+1)</f>
        <v>2058</v>
      </c>
      <c r="D136" s="659">
        <f>IF(F135+SUM(E$99:E135)=D$92,F135,D$92-SUM(E$99:E135))</f>
        <v>260397</v>
      </c>
      <c r="E136" s="69">
        <f t="shared" si="21"/>
        <v>43400</v>
      </c>
      <c r="F136" s="660">
        <f t="shared" si="22"/>
        <v>216997</v>
      </c>
      <c r="G136" s="660">
        <f t="shared" si="23"/>
        <v>238697</v>
      </c>
      <c r="H136" s="130">
        <f t="shared" si="14"/>
        <v>69134.220940453582</v>
      </c>
      <c r="I136" s="139">
        <f t="shared" si="15"/>
        <v>69134.220940453582</v>
      </c>
      <c r="J136" s="665">
        <f t="shared" si="24"/>
        <v>0</v>
      </c>
      <c r="K136" s="665"/>
      <c r="L136" s="132"/>
      <c r="M136" s="665">
        <f t="shared" si="25"/>
        <v>0</v>
      </c>
      <c r="N136" s="132"/>
      <c r="O136" s="665">
        <f t="shared" si="26"/>
        <v>0</v>
      </c>
      <c r="P136" s="665">
        <f t="shared" si="27"/>
        <v>0</v>
      </c>
    </row>
    <row r="137" spans="2:16">
      <c r="B137" s="9" t="str">
        <f t="shared" si="20"/>
        <v/>
      </c>
      <c r="C137" s="658">
        <f>IF(D93="","-",+C136+1)</f>
        <v>2059</v>
      </c>
      <c r="D137" s="659">
        <f>IF(F136+SUM(E$99:E136)=D$92,F136,D$92-SUM(E$99:E136))</f>
        <v>216997</v>
      </c>
      <c r="E137" s="69">
        <f t="shared" si="21"/>
        <v>43400</v>
      </c>
      <c r="F137" s="660">
        <f t="shared" si="22"/>
        <v>173597</v>
      </c>
      <c r="G137" s="660">
        <f t="shared" si="23"/>
        <v>195297</v>
      </c>
      <c r="H137" s="130">
        <f t="shared" si="14"/>
        <v>64455.212872418859</v>
      </c>
      <c r="I137" s="139">
        <f t="shared" si="15"/>
        <v>64455.212872418859</v>
      </c>
      <c r="J137" s="665">
        <f t="shared" si="24"/>
        <v>0</v>
      </c>
      <c r="K137" s="665"/>
      <c r="L137" s="132"/>
      <c r="M137" s="665">
        <f t="shared" si="25"/>
        <v>0</v>
      </c>
      <c r="N137" s="132"/>
      <c r="O137" s="665">
        <f t="shared" si="26"/>
        <v>0</v>
      </c>
      <c r="P137" s="665">
        <f t="shared" si="27"/>
        <v>0</v>
      </c>
    </row>
    <row r="138" spans="2:16">
      <c r="B138" s="9" t="str">
        <f t="shared" si="20"/>
        <v/>
      </c>
      <c r="C138" s="658">
        <f>IF(D93="","-",+C137+1)</f>
        <v>2060</v>
      </c>
      <c r="D138" s="659">
        <f>IF(F137+SUM(E$99:E137)=D$92,F137,D$92-SUM(E$99:E137))</f>
        <v>173597</v>
      </c>
      <c r="E138" s="69">
        <f t="shared" si="21"/>
        <v>43400</v>
      </c>
      <c r="F138" s="660">
        <f t="shared" si="22"/>
        <v>130197</v>
      </c>
      <c r="G138" s="660">
        <f t="shared" si="23"/>
        <v>151897</v>
      </c>
      <c r="H138" s="130">
        <f t="shared" si="14"/>
        <v>59776.204804384128</v>
      </c>
      <c r="I138" s="139">
        <f t="shared" si="15"/>
        <v>59776.204804384128</v>
      </c>
      <c r="J138" s="665">
        <f t="shared" si="24"/>
        <v>0</v>
      </c>
      <c r="K138" s="665"/>
      <c r="L138" s="132"/>
      <c r="M138" s="665">
        <f t="shared" si="25"/>
        <v>0</v>
      </c>
      <c r="N138" s="132"/>
      <c r="O138" s="665">
        <f t="shared" si="26"/>
        <v>0</v>
      </c>
      <c r="P138" s="665">
        <f t="shared" si="27"/>
        <v>0</v>
      </c>
    </row>
    <row r="139" spans="2:16">
      <c r="B139" s="9" t="str">
        <f t="shared" si="20"/>
        <v/>
      </c>
      <c r="C139" s="658">
        <f>IF(D93="","-",+C138+1)</f>
        <v>2061</v>
      </c>
      <c r="D139" s="659">
        <f>IF(F138+SUM(E$99:E138)=D$92,F138,D$92-SUM(E$99:E138))</f>
        <v>130197</v>
      </c>
      <c r="E139" s="69">
        <f t="shared" si="21"/>
        <v>43400</v>
      </c>
      <c r="F139" s="660">
        <f t="shared" si="22"/>
        <v>86797</v>
      </c>
      <c r="G139" s="660">
        <f t="shared" si="23"/>
        <v>108497</v>
      </c>
      <c r="H139" s="130">
        <f t="shared" si="14"/>
        <v>55097.196736349404</v>
      </c>
      <c r="I139" s="139">
        <f t="shared" si="15"/>
        <v>55097.196736349404</v>
      </c>
      <c r="J139" s="665">
        <f t="shared" si="24"/>
        <v>0</v>
      </c>
      <c r="K139" s="665"/>
      <c r="L139" s="132"/>
      <c r="M139" s="665">
        <f t="shared" si="25"/>
        <v>0</v>
      </c>
      <c r="N139" s="132"/>
      <c r="O139" s="665">
        <f t="shared" si="26"/>
        <v>0</v>
      </c>
      <c r="P139" s="665">
        <f t="shared" si="27"/>
        <v>0</v>
      </c>
    </row>
    <row r="140" spans="2:16">
      <c r="B140" s="9" t="str">
        <f t="shared" si="20"/>
        <v/>
      </c>
      <c r="C140" s="658">
        <f>IF(D93="","-",+C139+1)</f>
        <v>2062</v>
      </c>
      <c r="D140" s="659">
        <f>IF(F139+SUM(E$99:E139)=D$92,F139,D$92-SUM(E$99:E139))</f>
        <v>86797</v>
      </c>
      <c r="E140" s="69">
        <f t="shared" si="21"/>
        <v>43400</v>
      </c>
      <c r="F140" s="660">
        <f t="shared" si="22"/>
        <v>43397</v>
      </c>
      <c r="G140" s="660">
        <f t="shared" si="23"/>
        <v>65097</v>
      </c>
      <c r="H140" s="130">
        <f t="shared" si="14"/>
        <v>50418.188668314673</v>
      </c>
      <c r="I140" s="139">
        <f t="shared" si="15"/>
        <v>50418.188668314673</v>
      </c>
      <c r="J140" s="665">
        <f t="shared" si="24"/>
        <v>0</v>
      </c>
      <c r="K140" s="665"/>
      <c r="L140" s="132"/>
      <c r="M140" s="665">
        <f t="shared" si="25"/>
        <v>0</v>
      </c>
      <c r="N140" s="132"/>
      <c r="O140" s="665">
        <f t="shared" si="26"/>
        <v>0</v>
      </c>
      <c r="P140" s="665">
        <f t="shared" si="27"/>
        <v>0</v>
      </c>
    </row>
    <row r="141" spans="2:16">
      <c r="B141" s="9" t="str">
        <f t="shared" si="20"/>
        <v/>
      </c>
      <c r="C141" s="658">
        <f>IF(D93="","-",+C140+1)</f>
        <v>2063</v>
      </c>
      <c r="D141" s="659">
        <f>IF(F140+SUM(E$99:E140)=D$92,F140,D$92-SUM(E$99:E140))</f>
        <v>43397</v>
      </c>
      <c r="E141" s="69">
        <f t="shared" si="21"/>
        <v>43397</v>
      </c>
      <c r="F141" s="660">
        <f t="shared" si="22"/>
        <v>0</v>
      </c>
      <c r="G141" s="660">
        <f t="shared" si="23"/>
        <v>21698.5</v>
      </c>
      <c r="H141" s="130">
        <f t="shared" si="14"/>
        <v>45736.34231714865</v>
      </c>
      <c r="I141" s="139">
        <f t="shared" si="15"/>
        <v>45736.34231714865</v>
      </c>
      <c r="J141" s="665">
        <f t="shared" si="24"/>
        <v>0</v>
      </c>
      <c r="K141" s="665"/>
      <c r="L141" s="132"/>
      <c r="M141" s="665">
        <f t="shared" si="25"/>
        <v>0</v>
      </c>
      <c r="N141" s="132"/>
      <c r="O141" s="665">
        <f t="shared" si="26"/>
        <v>0</v>
      </c>
      <c r="P141" s="665">
        <f t="shared" si="27"/>
        <v>0</v>
      </c>
    </row>
    <row r="142" spans="2:16">
      <c r="B142" s="9" t="str">
        <f t="shared" si="20"/>
        <v/>
      </c>
      <c r="C142" s="658">
        <f>IF(D93="","-",+C141+1)</f>
        <v>2064</v>
      </c>
      <c r="D142" s="659">
        <f>IF(F141+SUM(E$99:E141)=D$92,F141,D$92-SUM(E$99:E141))</f>
        <v>0</v>
      </c>
      <c r="E142" s="69">
        <f t="shared" si="21"/>
        <v>0</v>
      </c>
      <c r="F142" s="660">
        <f t="shared" si="22"/>
        <v>0</v>
      </c>
      <c r="G142" s="660">
        <f t="shared" si="23"/>
        <v>0</v>
      </c>
      <c r="H142" s="130">
        <f t="shared" si="14"/>
        <v>0</v>
      </c>
      <c r="I142" s="139">
        <f t="shared" si="15"/>
        <v>0</v>
      </c>
      <c r="J142" s="665">
        <f t="shared" si="24"/>
        <v>0</v>
      </c>
      <c r="K142" s="665"/>
      <c r="L142" s="132"/>
      <c r="M142" s="665">
        <f t="shared" si="25"/>
        <v>0</v>
      </c>
      <c r="N142" s="132"/>
      <c r="O142" s="665">
        <f t="shared" si="26"/>
        <v>0</v>
      </c>
      <c r="P142" s="665">
        <f t="shared" si="27"/>
        <v>0</v>
      </c>
    </row>
    <row r="143" spans="2:16">
      <c r="B143" s="9" t="str">
        <f t="shared" si="20"/>
        <v/>
      </c>
      <c r="C143" s="658">
        <f>IF(D93="","-",+C142+1)</f>
        <v>2065</v>
      </c>
      <c r="D143" s="659">
        <f>IF(F142+SUM(E$99:E142)=D$92,F142,D$92-SUM(E$99:E142))</f>
        <v>0</v>
      </c>
      <c r="E143" s="69">
        <f t="shared" si="21"/>
        <v>0</v>
      </c>
      <c r="F143" s="660">
        <f t="shared" si="22"/>
        <v>0</v>
      </c>
      <c r="G143" s="660">
        <f t="shared" si="23"/>
        <v>0</v>
      </c>
      <c r="H143" s="130">
        <f t="shared" si="14"/>
        <v>0</v>
      </c>
      <c r="I143" s="139">
        <f t="shared" si="15"/>
        <v>0</v>
      </c>
      <c r="J143" s="665">
        <f t="shared" si="24"/>
        <v>0</v>
      </c>
      <c r="K143" s="665"/>
      <c r="L143" s="132"/>
      <c r="M143" s="665">
        <f t="shared" si="25"/>
        <v>0</v>
      </c>
      <c r="N143" s="132"/>
      <c r="O143" s="665">
        <f t="shared" si="26"/>
        <v>0</v>
      </c>
      <c r="P143" s="665">
        <f t="shared" si="27"/>
        <v>0</v>
      </c>
    </row>
    <row r="144" spans="2:16">
      <c r="B144" s="9" t="str">
        <f t="shared" si="20"/>
        <v/>
      </c>
      <c r="C144" s="658">
        <f>IF(D93="","-",+C143+1)</f>
        <v>2066</v>
      </c>
      <c r="D144" s="659">
        <f>IF(F143+SUM(E$99:E143)=D$92,F143,D$92-SUM(E$99:E143))</f>
        <v>0</v>
      </c>
      <c r="E144" s="69">
        <f t="shared" si="21"/>
        <v>0</v>
      </c>
      <c r="F144" s="660">
        <f t="shared" si="22"/>
        <v>0</v>
      </c>
      <c r="G144" s="660">
        <f t="shared" si="23"/>
        <v>0</v>
      </c>
      <c r="H144" s="130">
        <f t="shared" si="14"/>
        <v>0</v>
      </c>
      <c r="I144" s="139">
        <f t="shared" si="15"/>
        <v>0</v>
      </c>
      <c r="J144" s="665">
        <f t="shared" si="24"/>
        <v>0</v>
      </c>
      <c r="K144" s="665"/>
      <c r="L144" s="132"/>
      <c r="M144" s="665">
        <f t="shared" si="25"/>
        <v>0</v>
      </c>
      <c r="N144" s="132"/>
      <c r="O144" s="665">
        <f t="shared" si="26"/>
        <v>0</v>
      </c>
      <c r="P144" s="665">
        <f t="shared" si="27"/>
        <v>0</v>
      </c>
    </row>
    <row r="145" spans="2:16">
      <c r="B145" s="9" t="str">
        <f t="shared" si="20"/>
        <v/>
      </c>
      <c r="C145" s="658">
        <f>IF(D93="","-",+C144+1)</f>
        <v>2067</v>
      </c>
      <c r="D145" s="659">
        <f>IF(F144+SUM(E$99:E144)=D$92,F144,D$92-SUM(E$99:E144))</f>
        <v>0</v>
      </c>
      <c r="E145" s="69">
        <f t="shared" si="21"/>
        <v>0</v>
      </c>
      <c r="F145" s="660">
        <f t="shared" si="22"/>
        <v>0</v>
      </c>
      <c r="G145" s="660">
        <f t="shared" si="23"/>
        <v>0</v>
      </c>
      <c r="H145" s="130">
        <f t="shared" si="14"/>
        <v>0</v>
      </c>
      <c r="I145" s="139">
        <f t="shared" si="15"/>
        <v>0</v>
      </c>
      <c r="J145" s="665">
        <f t="shared" si="24"/>
        <v>0</v>
      </c>
      <c r="K145" s="665"/>
      <c r="L145" s="132"/>
      <c r="M145" s="665">
        <f t="shared" si="25"/>
        <v>0</v>
      </c>
      <c r="N145" s="132"/>
      <c r="O145" s="665">
        <f t="shared" si="26"/>
        <v>0</v>
      </c>
      <c r="P145" s="665">
        <f t="shared" si="27"/>
        <v>0</v>
      </c>
    </row>
    <row r="146" spans="2:16">
      <c r="B146" s="9" t="str">
        <f t="shared" si="20"/>
        <v/>
      </c>
      <c r="C146" s="658">
        <f>IF(D93="","-",+C145+1)</f>
        <v>2068</v>
      </c>
      <c r="D146" s="659">
        <f>IF(F145+SUM(E$99:E145)=D$92,F145,D$92-SUM(E$99:E145))</f>
        <v>0</v>
      </c>
      <c r="E146" s="69">
        <f t="shared" si="21"/>
        <v>0</v>
      </c>
      <c r="F146" s="660">
        <f t="shared" si="22"/>
        <v>0</v>
      </c>
      <c r="G146" s="660">
        <f t="shared" si="23"/>
        <v>0</v>
      </c>
      <c r="H146" s="130">
        <f t="shared" si="14"/>
        <v>0</v>
      </c>
      <c r="I146" s="139">
        <f t="shared" si="15"/>
        <v>0</v>
      </c>
      <c r="J146" s="665">
        <f t="shared" si="24"/>
        <v>0</v>
      </c>
      <c r="K146" s="665"/>
      <c r="L146" s="132"/>
      <c r="M146" s="665">
        <f t="shared" si="25"/>
        <v>0</v>
      </c>
      <c r="N146" s="132"/>
      <c r="O146" s="665">
        <f t="shared" si="26"/>
        <v>0</v>
      </c>
      <c r="P146" s="665">
        <f t="shared" si="27"/>
        <v>0</v>
      </c>
    </row>
    <row r="147" spans="2:16">
      <c r="B147" s="9" t="str">
        <f t="shared" si="20"/>
        <v/>
      </c>
      <c r="C147" s="658">
        <f>IF(D93="","-",+C146+1)</f>
        <v>2069</v>
      </c>
      <c r="D147" s="659">
        <f>IF(F146+SUM(E$99:E146)=D$92,F146,D$92-SUM(E$99:E146))</f>
        <v>0</v>
      </c>
      <c r="E147" s="69">
        <f t="shared" si="21"/>
        <v>0</v>
      </c>
      <c r="F147" s="660">
        <f t="shared" si="22"/>
        <v>0</v>
      </c>
      <c r="G147" s="660">
        <f t="shared" si="23"/>
        <v>0</v>
      </c>
      <c r="H147" s="130">
        <f t="shared" si="14"/>
        <v>0</v>
      </c>
      <c r="I147" s="139">
        <f t="shared" si="15"/>
        <v>0</v>
      </c>
      <c r="J147" s="665">
        <f t="shared" si="24"/>
        <v>0</v>
      </c>
      <c r="K147" s="665"/>
      <c r="L147" s="132"/>
      <c r="M147" s="665">
        <f t="shared" si="25"/>
        <v>0</v>
      </c>
      <c r="N147" s="132"/>
      <c r="O147" s="665">
        <f t="shared" si="26"/>
        <v>0</v>
      </c>
      <c r="P147" s="665">
        <f t="shared" si="27"/>
        <v>0</v>
      </c>
    </row>
    <row r="148" spans="2:16">
      <c r="B148" s="9" t="str">
        <f t="shared" si="20"/>
        <v/>
      </c>
      <c r="C148" s="658">
        <f>IF(D93="","-",+C147+1)</f>
        <v>2070</v>
      </c>
      <c r="D148" s="659">
        <f>IF(F147+SUM(E$99:E147)=D$92,F147,D$92-SUM(E$99:E147))</f>
        <v>0</v>
      </c>
      <c r="E148" s="69">
        <f t="shared" si="21"/>
        <v>0</v>
      </c>
      <c r="F148" s="660">
        <f t="shared" si="22"/>
        <v>0</v>
      </c>
      <c r="G148" s="660">
        <f t="shared" si="23"/>
        <v>0</v>
      </c>
      <c r="H148" s="130">
        <f t="shared" si="14"/>
        <v>0</v>
      </c>
      <c r="I148" s="139">
        <f t="shared" si="15"/>
        <v>0</v>
      </c>
      <c r="J148" s="665">
        <f t="shared" si="24"/>
        <v>0</v>
      </c>
      <c r="K148" s="665"/>
      <c r="L148" s="132"/>
      <c r="M148" s="665">
        <f t="shared" si="25"/>
        <v>0</v>
      </c>
      <c r="N148" s="132"/>
      <c r="O148" s="665">
        <f t="shared" si="26"/>
        <v>0</v>
      </c>
      <c r="P148" s="665">
        <f t="shared" si="27"/>
        <v>0</v>
      </c>
    </row>
    <row r="149" spans="2:16">
      <c r="B149" s="9" t="str">
        <f t="shared" si="20"/>
        <v/>
      </c>
      <c r="C149" s="658">
        <f>IF(D93="","-",+C148+1)</f>
        <v>2071</v>
      </c>
      <c r="D149" s="659">
        <f>IF(F148+SUM(E$99:E148)=D$92,F148,D$92-SUM(E$99:E148))</f>
        <v>0</v>
      </c>
      <c r="E149" s="69">
        <f t="shared" si="21"/>
        <v>0</v>
      </c>
      <c r="F149" s="660">
        <f t="shared" si="22"/>
        <v>0</v>
      </c>
      <c r="G149" s="660">
        <f t="shared" si="23"/>
        <v>0</v>
      </c>
      <c r="H149" s="130">
        <f t="shared" si="14"/>
        <v>0</v>
      </c>
      <c r="I149" s="139">
        <f t="shared" si="15"/>
        <v>0</v>
      </c>
      <c r="J149" s="665">
        <f t="shared" si="24"/>
        <v>0</v>
      </c>
      <c r="K149" s="665"/>
      <c r="L149" s="132"/>
      <c r="M149" s="665">
        <f t="shared" si="25"/>
        <v>0</v>
      </c>
      <c r="N149" s="132"/>
      <c r="O149" s="665">
        <f t="shared" si="26"/>
        <v>0</v>
      </c>
      <c r="P149" s="665">
        <f t="shared" si="27"/>
        <v>0</v>
      </c>
    </row>
    <row r="150" spans="2:16">
      <c r="B150" s="9" t="str">
        <f t="shared" si="20"/>
        <v/>
      </c>
      <c r="C150" s="658">
        <f>IF(D93="","-",+C149+1)</f>
        <v>2072</v>
      </c>
      <c r="D150" s="659">
        <f>IF(F149+SUM(E$99:E149)=D$92,F149,D$92-SUM(E$99:E149))</f>
        <v>0</v>
      </c>
      <c r="E150" s="69">
        <f t="shared" si="21"/>
        <v>0</v>
      </c>
      <c r="F150" s="660">
        <f t="shared" si="22"/>
        <v>0</v>
      </c>
      <c r="G150" s="660">
        <f t="shared" si="23"/>
        <v>0</v>
      </c>
      <c r="H150" s="130">
        <f t="shared" si="14"/>
        <v>0</v>
      </c>
      <c r="I150" s="139">
        <f t="shared" si="15"/>
        <v>0</v>
      </c>
      <c r="J150" s="665">
        <f t="shared" si="24"/>
        <v>0</v>
      </c>
      <c r="K150" s="665"/>
      <c r="L150" s="132"/>
      <c r="M150" s="665">
        <f t="shared" si="25"/>
        <v>0</v>
      </c>
      <c r="N150" s="132"/>
      <c r="O150" s="665">
        <f t="shared" si="26"/>
        <v>0</v>
      </c>
      <c r="P150" s="665">
        <f t="shared" si="27"/>
        <v>0</v>
      </c>
    </row>
    <row r="151" spans="2:16">
      <c r="B151" s="9" t="str">
        <f t="shared" si="20"/>
        <v/>
      </c>
      <c r="C151" s="658">
        <f>IF(D93="","-",+C150+1)</f>
        <v>2073</v>
      </c>
      <c r="D151" s="659">
        <f>IF(F150+SUM(E$99:E150)=D$92,F150,D$92-SUM(E$99:E150))</f>
        <v>0</v>
      </c>
      <c r="E151" s="69">
        <f t="shared" si="21"/>
        <v>0</v>
      </c>
      <c r="F151" s="660">
        <f t="shared" si="22"/>
        <v>0</v>
      </c>
      <c r="G151" s="660">
        <f t="shared" si="23"/>
        <v>0</v>
      </c>
      <c r="H151" s="130">
        <f t="shared" si="14"/>
        <v>0</v>
      </c>
      <c r="I151" s="139">
        <f t="shared" si="15"/>
        <v>0</v>
      </c>
      <c r="J151" s="665">
        <f t="shared" si="24"/>
        <v>0</v>
      </c>
      <c r="K151" s="665"/>
      <c r="L151" s="132"/>
      <c r="M151" s="665">
        <f t="shared" si="25"/>
        <v>0</v>
      </c>
      <c r="N151" s="132"/>
      <c r="O151" s="665">
        <f t="shared" si="26"/>
        <v>0</v>
      </c>
      <c r="P151" s="665">
        <f t="shared" si="27"/>
        <v>0</v>
      </c>
    </row>
    <row r="152" spans="2:16">
      <c r="B152" s="9" t="str">
        <f t="shared" si="20"/>
        <v/>
      </c>
      <c r="C152" s="658">
        <f>IF(D93="","-",+C151+1)</f>
        <v>2074</v>
      </c>
      <c r="D152" s="659">
        <f>IF(F151+SUM(E$99:E151)=D$92,F151,D$92-SUM(E$99:E151))</f>
        <v>0</v>
      </c>
      <c r="E152" s="69">
        <f t="shared" si="21"/>
        <v>0</v>
      </c>
      <c r="F152" s="660">
        <f t="shared" si="22"/>
        <v>0</v>
      </c>
      <c r="G152" s="660">
        <f t="shared" si="23"/>
        <v>0</v>
      </c>
      <c r="H152" s="130">
        <f t="shared" si="14"/>
        <v>0</v>
      </c>
      <c r="I152" s="139">
        <f t="shared" si="15"/>
        <v>0</v>
      </c>
      <c r="J152" s="665">
        <f t="shared" si="24"/>
        <v>0</v>
      </c>
      <c r="K152" s="665"/>
      <c r="L152" s="132"/>
      <c r="M152" s="665">
        <f t="shared" si="25"/>
        <v>0</v>
      </c>
      <c r="N152" s="132"/>
      <c r="O152" s="665">
        <f t="shared" si="26"/>
        <v>0</v>
      </c>
      <c r="P152" s="665">
        <f t="shared" si="27"/>
        <v>0</v>
      </c>
    </row>
    <row r="153" spans="2:16">
      <c r="B153" s="9" t="str">
        <f t="shared" si="20"/>
        <v/>
      </c>
      <c r="C153" s="658">
        <f>IF(D93="","-",+C152+1)</f>
        <v>2075</v>
      </c>
      <c r="D153" s="659">
        <f>IF(F152+SUM(E$99:E152)=D$92,F152,D$92-SUM(E$99:E152))</f>
        <v>0</v>
      </c>
      <c r="E153" s="69">
        <f t="shared" si="21"/>
        <v>0</v>
      </c>
      <c r="F153" s="660">
        <f t="shared" si="22"/>
        <v>0</v>
      </c>
      <c r="G153" s="660">
        <f t="shared" si="23"/>
        <v>0</v>
      </c>
      <c r="H153" s="130">
        <f t="shared" si="14"/>
        <v>0</v>
      </c>
      <c r="I153" s="139">
        <f t="shared" si="15"/>
        <v>0</v>
      </c>
      <c r="J153" s="665">
        <f t="shared" si="24"/>
        <v>0</v>
      </c>
      <c r="K153" s="665"/>
      <c r="L153" s="132"/>
      <c r="M153" s="665">
        <f t="shared" si="25"/>
        <v>0</v>
      </c>
      <c r="N153" s="132"/>
      <c r="O153" s="665">
        <f t="shared" si="26"/>
        <v>0</v>
      </c>
      <c r="P153" s="665">
        <f t="shared" si="27"/>
        <v>0</v>
      </c>
    </row>
    <row r="154" spans="2:16" ht="13" thickBot="1">
      <c r="B154" s="9" t="str">
        <f t="shared" si="20"/>
        <v/>
      </c>
      <c r="C154" s="667">
        <f>IF(D93="","-",+C153+1)</f>
        <v>2076</v>
      </c>
      <c r="D154" s="692">
        <f>IF(F153+SUM(E$99:E153)=D$92,F153,D$92-SUM(E$99:E153))</f>
        <v>0</v>
      </c>
      <c r="E154" s="74">
        <f t="shared" si="21"/>
        <v>0</v>
      </c>
      <c r="F154" s="668">
        <f t="shared" si="22"/>
        <v>0</v>
      </c>
      <c r="G154" s="668">
        <f t="shared" si="23"/>
        <v>0</v>
      </c>
      <c r="H154" s="140">
        <f t="shared" si="14"/>
        <v>0</v>
      </c>
      <c r="I154" s="141">
        <f t="shared" si="15"/>
        <v>0</v>
      </c>
      <c r="J154" s="671">
        <f t="shared" si="24"/>
        <v>0</v>
      </c>
      <c r="K154" s="665"/>
      <c r="L154" s="133"/>
      <c r="M154" s="671">
        <f t="shared" si="25"/>
        <v>0</v>
      </c>
      <c r="N154" s="133"/>
      <c r="O154" s="671">
        <f t="shared" si="26"/>
        <v>0</v>
      </c>
      <c r="P154" s="671">
        <f t="shared" si="27"/>
        <v>0</v>
      </c>
    </row>
    <row r="155" spans="2:16">
      <c r="C155" s="659" t="s">
        <v>77</v>
      </c>
      <c r="D155" s="638"/>
      <c r="E155" s="638">
        <f>SUM(E99:E154)</f>
        <v>1822797</v>
      </c>
      <c r="F155" s="638"/>
      <c r="G155" s="638"/>
      <c r="H155" s="638">
        <f>SUM(H99:H154)</f>
        <v>6030772.9472054215</v>
      </c>
      <c r="I155" s="638">
        <f>SUM(I99:I154)</f>
        <v>6030772.9472054215</v>
      </c>
      <c r="J155" s="638">
        <f>SUM(J99:J154)</f>
        <v>0</v>
      </c>
      <c r="K155" s="638"/>
      <c r="L155" s="638"/>
      <c r="M155" s="638"/>
      <c r="N155" s="638"/>
      <c r="O155" s="638"/>
      <c r="P155" s="631"/>
    </row>
    <row r="156" spans="2:16">
      <c r="C156" t="s">
        <v>100</v>
      </c>
      <c r="D156" s="632"/>
      <c r="E156" s="631"/>
      <c r="F156" s="631"/>
      <c r="G156" s="631"/>
      <c r="H156" s="631"/>
      <c r="I156" s="634"/>
      <c r="J156" s="634"/>
      <c r="K156" s="638"/>
      <c r="L156" s="634"/>
      <c r="M156" s="634"/>
      <c r="N156" s="634"/>
      <c r="O156" s="634"/>
      <c r="P156" s="631"/>
    </row>
    <row r="157" spans="2:16">
      <c r="C157" s="99"/>
      <c r="D157" s="632"/>
      <c r="E157" s="631"/>
      <c r="F157" s="631"/>
      <c r="G157" s="631"/>
      <c r="H157" s="631"/>
      <c r="I157" s="634"/>
      <c r="J157" s="634"/>
      <c r="K157" s="638"/>
      <c r="L157" s="634"/>
      <c r="M157" s="634"/>
      <c r="N157" s="634"/>
      <c r="O157" s="634"/>
      <c r="P157" s="631"/>
    </row>
    <row r="158" spans="2:16" ht="13">
      <c r="C158" s="115" t="s">
        <v>148</v>
      </c>
      <c r="D158" s="632"/>
      <c r="E158" s="631"/>
      <c r="F158" s="631"/>
      <c r="G158" s="631"/>
      <c r="H158" s="631"/>
      <c r="I158" s="634"/>
      <c r="J158" s="634"/>
      <c r="K158" s="638"/>
      <c r="L158" s="634"/>
      <c r="M158" s="634"/>
      <c r="N158" s="634"/>
      <c r="O158" s="634"/>
      <c r="P158" s="631"/>
    </row>
    <row r="159" spans="2:16" ht="13">
      <c r="C159" s="641" t="s">
        <v>78</v>
      </c>
      <c r="D159" s="659"/>
      <c r="E159" s="659"/>
      <c r="F159" s="659"/>
      <c r="G159" s="659"/>
      <c r="H159" s="638"/>
      <c r="I159" s="638"/>
      <c r="J159" s="672"/>
      <c r="K159" s="672"/>
      <c r="L159" s="672"/>
      <c r="M159" s="672"/>
      <c r="N159" s="672"/>
      <c r="O159" s="672"/>
      <c r="P159" s="631"/>
    </row>
    <row r="160" spans="2:16" ht="13">
      <c r="C160" s="693" t="s">
        <v>79</v>
      </c>
      <c r="D160" s="659"/>
      <c r="E160" s="659"/>
      <c r="F160" s="659"/>
      <c r="G160" s="659"/>
      <c r="H160" s="638"/>
      <c r="I160" s="638"/>
      <c r="J160" s="672"/>
      <c r="K160" s="672"/>
      <c r="L160" s="672"/>
      <c r="M160" s="672"/>
      <c r="N160" s="672"/>
      <c r="O160" s="672"/>
      <c r="P160" s="631"/>
    </row>
    <row r="161" spans="3:16" ht="13">
      <c r="C161" s="693"/>
      <c r="D161" s="659"/>
      <c r="E161" s="659"/>
      <c r="F161" s="659"/>
      <c r="G161" s="659"/>
      <c r="H161" s="638"/>
      <c r="I161" s="638"/>
      <c r="J161" s="672"/>
      <c r="K161" s="672"/>
      <c r="L161" s="672"/>
      <c r="M161" s="672"/>
      <c r="N161" s="672"/>
      <c r="O161" s="672"/>
      <c r="P161" s="631"/>
    </row>
    <row r="162" spans="3:16" ht="17.5">
      <c r="C162" s="693"/>
      <c r="D162" s="659"/>
      <c r="E162" s="659"/>
      <c r="F162" s="659"/>
      <c r="G162" s="659"/>
      <c r="H162" s="638"/>
      <c r="I162" s="638"/>
      <c r="J162" s="672"/>
      <c r="K162" s="672"/>
      <c r="L162" s="672"/>
      <c r="M162" s="672"/>
      <c r="N162" s="672"/>
      <c r="P162" s="694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4" header="0.25" footer="0.5"/>
  <pageSetup scale="47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4A11-00CC-4B7E-A7D5-813C3E523491}">
  <dimension ref="A1:P162"/>
  <sheetViews>
    <sheetView zoomScale="80" zoomScaleNormal="80" workbookViewId="0">
      <selection activeCell="D91" sqref="D91"/>
    </sheetView>
  </sheetViews>
  <sheetFormatPr defaultColWidth="8.7265625" defaultRowHeight="12.5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631"/>
      <c r="C1" s="631"/>
      <c r="D1" s="632"/>
      <c r="E1" s="631"/>
      <c r="F1" s="633"/>
      <c r="G1" s="631"/>
      <c r="H1" s="634"/>
      <c r="K1" s="19"/>
      <c r="L1" s="19"/>
      <c r="M1" s="19"/>
      <c r="P1" s="635" t="s">
        <v>364</v>
      </c>
    </row>
    <row r="2" spans="1:16" ht="17.5">
      <c r="B2" s="631"/>
      <c r="C2" s="631"/>
      <c r="D2" s="632"/>
      <c r="E2" s="631"/>
      <c r="F2" s="631"/>
      <c r="G2" s="631"/>
      <c r="H2" s="634"/>
      <c r="I2" s="631"/>
      <c r="J2" s="631"/>
      <c r="K2" s="631"/>
      <c r="L2" s="631"/>
      <c r="M2" s="631"/>
      <c r="N2" s="631"/>
      <c r="P2" s="117" t="s">
        <v>150</v>
      </c>
    </row>
    <row r="3" spans="1:16" ht="18">
      <c r="B3" s="636" t="s">
        <v>42</v>
      </c>
      <c r="C3" s="637" t="s">
        <v>43</v>
      </c>
      <c r="D3" s="632"/>
      <c r="E3" s="631"/>
      <c r="F3" s="631"/>
      <c r="G3" s="631"/>
      <c r="H3" s="634"/>
      <c r="I3" s="634"/>
      <c r="J3" s="638"/>
      <c r="K3" s="634"/>
      <c r="L3" s="634"/>
      <c r="M3" s="634"/>
      <c r="N3" s="634"/>
      <c r="O3" s="631"/>
      <c r="P3" s="108">
        <v>1</v>
      </c>
    </row>
    <row r="4" spans="1:16" ht="16" thickBot="1">
      <c r="C4" s="639"/>
      <c r="D4" s="632"/>
      <c r="E4" s="631"/>
      <c r="F4" s="631"/>
      <c r="G4" s="631"/>
      <c r="H4" s="634"/>
      <c r="I4" s="634"/>
      <c r="J4" s="638"/>
      <c r="K4" s="634"/>
      <c r="L4" s="634"/>
      <c r="M4" s="634"/>
      <c r="N4" s="634"/>
      <c r="O4" s="631"/>
      <c r="P4" s="631"/>
    </row>
    <row r="5" spans="1:16" ht="15.5">
      <c r="C5" s="21" t="s">
        <v>44</v>
      </c>
      <c r="D5" s="632"/>
      <c r="E5" s="631"/>
      <c r="F5" s="631"/>
      <c r="G5" s="419"/>
      <c r="H5" s="631" t="s">
        <v>45</v>
      </c>
      <c r="I5" s="631"/>
      <c r="J5" s="631"/>
      <c r="K5" s="23" t="s">
        <v>279</v>
      </c>
      <c r="L5" s="24"/>
      <c r="M5" s="640"/>
      <c r="N5" s="423">
        <f>VLOOKUP(I10,C17:I72,5)</f>
        <v>3024.2132561392209</v>
      </c>
      <c r="P5" s="631"/>
    </row>
    <row r="6" spans="1:16" ht="15.5">
      <c r="C6" s="8"/>
      <c r="D6" s="632"/>
      <c r="E6" s="631"/>
      <c r="F6" s="631"/>
      <c r="G6" s="631"/>
      <c r="H6" s="424"/>
      <c r="I6" s="424"/>
      <c r="J6" s="425"/>
      <c r="K6" s="29" t="s">
        <v>280</v>
      </c>
      <c r="L6" s="427"/>
      <c r="M6" s="631"/>
      <c r="N6" s="428">
        <f>VLOOKUP(I10,C17:I72,6)</f>
        <v>3024.2132561392209</v>
      </c>
      <c r="O6" s="631"/>
      <c r="P6" s="631"/>
    </row>
    <row r="7" spans="1:16" ht="13.5" thickBot="1">
      <c r="C7" s="641" t="s">
        <v>46</v>
      </c>
      <c r="D7" s="614" t="s">
        <v>340</v>
      </c>
      <c r="E7" s="631"/>
      <c r="F7" s="631"/>
      <c r="G7" s="631"/>
      <c r="H7" s="634"/>
      <c r="I7" s="634"/>
      <c r="J7" s="638"/>
      <c r="K7" s="431" t="s">
        <v>47</v>
      </c>
      <c r="L7" s="642"/>
      <c r="M7" s="642"/>
      <c r="N7" s="643">
        <f>+N6-N5</f>
        <v>0</v>
      </c>
      <c r="O7" s="631"/>
      <c r="P7" s="631"/>
    </row>
    <row r="8" spans="1:16" ht="13.5" thickBot="1">
      <c r="C8" s="644"/>
      <c r="D8" s="99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31"/>
    </row>
    <row r="9" spans="1:16" ht="13.5" thickBot="1">
      <c r="C9" s="646" t="s">
        <v>48</v>
      </c>
      <c r="D9" s="106" t="s">
        <v>341</v>
      </c>
      <c r="E9" s="647" t="s">
        <v>342</v>
      </c>
      <c r="F9" s="648"/>
      <c r="G9" s="648"/>
      <c r="H9" s="648"/>
      <c r="I9" s="649"/>
      <c r="J9" s="650"/>
      <c r="P9" s="631"/>
    </row>
    <row r="10" spans="1:16" ht="13">
      <c r="C10" s="651" t="s">
        <v>226</v>
      </c>
      <c r="D10" s="445">
        <v>70967.7</v>
      </c>
      <c r="E10" s="631" t="s">
        <v>51</v>
      </c>
      <c r="G10" s="632"/>
      <c r="H10" s="632"/>
      <c r="I10" s="652">
        <v>2022</v>
      </c>
      <c r="J10" s="650"/>
      <c r="K10" s="638" t="s">
        <v>52</v>
      </c>
      <c r="O10" s="631"/>
      <c r="P10" s="631"/>
    </row>
    <row r="11" spans="1:16">
      <c r="C11" s="653" t="s">
        <v>53</v>
      </c>
      <c r="D11" s="47">
        <v>2022</v>
      </c>
      <c r="E11" s="653" t="s">
        <v>54</v>
      </c>
      <c r="F11" s="632"/>
      <c r="I11" s="654">
        <v>0</v>
      </c>
      <c r="J11" s="655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631"/>
      <c r="P11" s="631"/>
    </row>
    <row r="12" spans="1:16">
      <c r="C12" s="653" t="s">
        <v>55</v>
      </c>
      <c r="D12" s="445">
        <v>6</v>
      </c>
      <c r="E12" s="653" t="s">
        <v>56</v>
      </c>
      <c r="F12" s="632"/>
      <c r="I12" s="656">
        <v>0.10781124580725182</v>
      </c>
      <c r="J12" s="633"/>
      <c r="K12" t="s">
        <v>57</v>
      </c>
      <c r="O12" s="631"/>
      <c r="P12" s="631"/>
    </row>
    <row r="13" spans="1:16">
      <c r="C13" s="653" t="s">
        <v>58</v>
      </c>
      <c r="D13" s="654">
        <v>42</v>
      </c>
      <c r="E13" s="653" t="s">
        <v>59</v>
      </c>
      <c r="F13" s="632"/>
      <c r="I13" s="656">
        <v>0.10781124580725182</v>
      </c>
      <c r="J13" s="633"/>
      <c r="K13" s="638" t="s">
        <v>60</v>
      </c>
      <c r="L13" s="633"/>
      <c r="M13" s="633"/>
      <c r="N13" s="633"/>
      <c r="O13" s="631"/>
      <c r="P13" s="631"/>
    </row>
    <row r="14" spans="1:16" ht="13" thickBot="1">
      <c r="C14" s="653" t="s">
        <v>61</v>
      </c>
      <c r="D14" s="47" t="s">
        <v>62</v>
      </c>
      <c r="E14" s="631" t="s">
        <v>63</v>
      </c>
      <c r="F14" s="632"/>
      <c r="I14" s="657">
        <f>IF(D10=0,0,D10/D13)</f>
        <v>1689.7071428571428</v>
      </c>
      <c r="J14" s="638"/>
      <c r="K14" s="638"/>
      <c r="L14" s="638"/>
      <c r="M14" s="638"/>
      <c r="N14" s="638"/>
      <c r="O14" s="631"/>
      <c r="P14" s="631"/>
    </row>
    <row r="15" spans="1:16" ht="39">
      <c r="C15" s="53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53" t="s">
        <v>67</v>
      </c>
      <c r="J15" s="55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631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463" t="s">
        <v>73</v>
      </c>
      <c r="H16" s="464" t="s">
        <v>74</v>
      </c>
      <c r="I16" s="57" t="s">
        <v>104</v>
      </c>
      <c r="J16" s="55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631"/>
    </row>
    <row r="17" spans="2:16" ht="13" thickBot="1">
      <c r="B17" s="9"/>
      <c r="C17" s="658">
        <f>IF(D11= "","-",D11)</f>
        <v>2022</v>
      </c>
      <c r="D17" s="618">
        <v>0</v>
      </c>
      <c r="E17" s="619">
        <v>0</v>
      </c>
      <c r="F17" s="620">
        <v>56102</v>
      </c>
      <c r="G17" s="619">
        <v>3024.2132561392209</v>
      </c>
      <c r="H17" s="621">
        <v>3024.2132561392209</v>
      </c>
      <c r="I17" s="662">
        <f>H17-G17</f>
        <v>0</v>
      </c>
      <c r="J17" s="662"/>
      <c r="K17" s="663">
        <f>+G17</f>
        <v>3024.2132561392209</v>
      </c>
      <c r="L17" s="664">
        <f t="shared" ref="L17:L72" si="0">IF(K17&lt;&gt;0,+G17-K17,0)</f>
        <v>0</v>
      </c>
      <c r="M17" s="663">
        <f>+H17</f>
        <v>3024.2132561392209</v>
      </c>
      <c r="N17" s="664">
        <f t="shared" ref="N17:N72" si="1">IF(M17&lt;&gt;0,+H17-M17,0)</f>
        <v>0</v>
      </c>
      <c r="O17" s="665">
        <f t="shared" ref="O17:O72" si="2">+N17-L17</f>
        <v>0</v>
      </c>
      <c r="P17" s="631"/>
    </row>
    <row r="18" spans="2:16">
      <c r="B18" s="9" t="str">
        <f>IF(D18=F17,"","IU")</f>
        <v>IU</v>
      </c>
      <c r="C18" s="658">
        <f>IF(D11="","-",+C17+1)</f>
        <v>2023</v>
      </c>
      <c r="D18" s="471">
        <v>70968.24417723043</v>
      </c>
      <c r="E18" s="478">
        <v>1819.6985686469341</v>
      </c>
      <c r="F18" s="471">
        <v>69148.545608583503</v>
      </c>
      <c r="G18" s="478">
        <v>10181.795067763751</v>
      </c>
      <c r="H18" s="479">
        <v>10181.795067763751</v>
      </c>
      <c r="I18" s="662">
        <f>H18-G18</f>
        <v>0</v>
      </c>
      <c r="J18" s="662"/>
      <c r="K18" s="663">
        <f>+G18</f>
        <v>10181.795067763751</v>
      </c>
      <c r="L18" s="664">
        <f t="shared" ref="L18" si="3">IF(K18&lt;&gt;0,+G18-K18,0)</f>
        <v>0</v>
      </c>
      <c r="M18" s="663">
        <f>+H18</f>
        <v>10181.795067763751</v>
      </c>
      <c r="N18" s="665">
        <f t="shared" si="1"/>
        <v>0</v>
      </c>
      <c r="O18" s="665">
        <f t="shared" si="2"/>
        <v>0</v>
      </c>
      <c r="P18" s="631"/>
    </row>
    <row r="19" spans="2:16">
      <c r="B19" s="9" t="str">
        <f>IF(D19=F18,"","IU")</f>
        <v>IU</v>
      </c>
      <c r="C19" s="658">
        <f>IF(D11="","-",+C18+1)</f>
        <v>2024</v>
      </c>
      <c r="D19" s="660">
        <f>IF(F18+SUM(E$17:E18)=D$10,F18,D$10-SUM(E$17:E18))</f>
        <v>69148.00143135307</v>
      </c>
      <c r="E19" s="69">
        <f t="shared" ref="E19:E71" si="4">IF(+I$14&lt;F18,I$14,D19)</f>
        <v>1689.7071428571428</v>
      </c>
      <c r="F19" s="660">
        <f t="shared" ref="F19:F71" si="5">+D19-E19</f>
        <v>67458.294288495934</v>
      </c>
      <c r="G19" s="666">
        <f t="shared" ref="G19:G71" si="6">(D19+F19)/2*I$12+E19</f>
        <v>9053.5546061925288</v>
      </c>
      <c r="H19" s="661">
        <f t="shared" ref="H19:H71" si="7">+(D19+F19)/2*I$13+E19</f>
        <v>9053.5546061925288</v>
      </c>
      <c r="I19" s="662">
        <f t="shared" ref="I19:I71" si="8">H19-G19</f>
        <v>0</v>
      </c>
      <c r="J19" s="662"/>
      <c r="K19" s="132"/>
      <c r="L19" s="665">
        <f t="shared" si="0"/>
        <v>0</v>
      </c>
      <c r="M19" s="132"/>
      <c r="N19" s="665">
        <f t="shared" si="1"/>
        <v>0</v>
      </c>
      <c r="O19" s="665">
        <f t="shared" si="2"/>
        <v>0</v>
      </c>
      <c r="P19" s="631"/>
    </row>
    <row r="20" spans="2:16">
      <c r="B20" s="9" t="str">
        <f t="shared" ref="B20:B72" si="9">IF(D20=F19,"","IU")</f>
        <v/>
      </c>
      <c r="C20" s="658">
        <f>IF(D11="","-",+C19+1)</f>
        <v>2025</v>
      </c>
      <c r="D20" s="660">
        <f>IF(F19+SUM(E$17:E19)=D$10,F19,D$10-SUM(E$17:E19))</f>
        <v>67458.294288495934</v>
      </c>
      <c r="E20" s="69">
        <f t="shared" si="4"/>
        <v>1689.7071428571428</v>
      </c>
      <c r="F20" s="660">
        <f t="shared" si="5"/>
        <v>65768.587145638798</v>
      </c>
      <c r="G20" s="666">
        <f t="shared" si="6"/>
        <v>8871.3851740716891</v>
      </c>
      <c r="H20" s="661">
        <f t="shared" si="7"/>
        <v>8871.3851740716891</v>
      </c>
      <c r="I20" s="662">
        <f t="shared" si="8"/>
        <v>0</v>
      </c>
      <c r="J20" s="662"/>
      <c r="K20" s="132"/>
      <c r="L20" s="665">
        <f t="shared" si="0"/>
        <v>0</v>
      </c>
      <c r="M20" s="132"/>
      <c r="N20" s="665">
        <f t="shared" si="1"/>
        <v>0</v>
      </c>
      <c r="O20" s="665">
        <f t="shared" si="2"/>
        <v>0</v>
      </c>
      <c r="P20" s="631"/>
    </row>
    <row r="21" spans="2:16">
      <c r="B21" s="9" t="str">
        <f t="shared" si="9"/>
        <v/>
      </c>
      <c r="C21" s="658">
        <f>IF(D11="","-",+C20+1)</f>
        <v>2026</v>
      </c>
      <c r="D21" s="660">
        <f>IF(F20+SUM(E$17:E20)=D$10,F20,D$10-SUM(E$17:E20))</f>
        <v>65768.587145638798</v>
      </c>
      <c r="E21" s="482">
        <f t="shared" si="4"/>
        <v>1689.7071428571428</v>
      </c>
      <c r="F21" s="660">
        <f t="shared" si="5"/>
        <v>64078.880002781654</v>
      </c>
      <c r="G21" s="695">
        <f t="shared" si="6"/>
        <v>8689.2157419508494</v>
      </c>
      <c r="H21" s="657">
        <f t="shared" si="7"/>
        <v>8689.2157419508494</v>
      </c>
      <c r="I21" s="662">
        <f t="shared" si="8"/>
        <v>0</v>
      </c>
      <c r="J21" s="662"/>
      <c r="K21" s="132"/>
      <c r="L21" s="665">
        <f t="shared" si="0"/>
        <v>0</v>
      </c>
      <c r="M21" s="132"/>
      <c r="N21" s="665">
        <f t="shared" si="1"/>
        <v>0</v>
      </c>
      <c r="O21" s="665">
        <f t="shared" si="2"/>
        <v>0</v>
      </c>
      <c r="P21" s="631"/>
    </row>
    <row r="22" spans="2:16">
      <c r="B22" s="9" t="str">
        <f t="shared" si="9"/>
        <v/>
      </c>
      <c r="C22" s="658">
        <f>IF(D11="","-",+C21+1)</f>
        <v>2027</v>
      </c>
      <c r="D22" s="660">
        <f>IF(F21+SUM(E$17:E21)=D$10,F21,D$10-SUM(E$17:E21))</f>
        <v>64078.880002781654</v>
      </c>
      <c r="E22" s="482">
        <f t="shared" si="4"/>
        <v>1689.7071428571428</v>
      </c>
      <c r="F22" s="660">
        <f t="shared" si="5"/>
        <v>62389.172859924511</v>
      </c>
      <c r="G22" s="695">
        <f t="shared" si="6"/>
        <v>8507.0463098300079</v>
      </c>
      <c r="H22" s="657">
        <f t="shared" si="7"/>
        <v>8507.0463098300079</v>
      </c>
      <c r="I22" s="662">
        <f t="shared" si="8"/>
        <v>0</v>
      </c>
      <c r="J22" s="662"/>
      <c r="K22" s="132"/>
      <c r="L22" s="665">
        <f t="shared" si="0"/>
        <v>0</v>
      </c>
      <c r="M22" s="132"/>
      <c r="N22" s="665">
        <f t="shared" si="1"/>
        <v>0</v>
      </c>
      <c r="O22" s="665">
        <f t="shared" si="2"/>
        <v>0</v>
      </c>
      <c r="P22" s="631"/>
    </row>
    <row r="23" spans="2:16">
      <c r="B23" s="9" t="str">
        <f t="shared" si="9"/>
        <v/>
      </c>
      <c r="C23" s="658">
        <f>IF(D11="","-",+C22+1)</f>
        <v>2028</v>
      </c>
      <c r="D23" s="660">
        <f>IF(F22+SUM(E$17:E22)=D$10,F22,D$10-SUM(E$17:E22))</f>
        <v>62389.172859924511</v>
      </c>
      <c r="E23" s="482">
        <f t="shared" si="4"/>
        <v>1689.7071428571428</v>
      </c>
      <c r="F23" s="660">
        <f t="shared" si="5"/>
        <v>60699.465717067367</v>
      </c>
      <c r="G23" s="695">
        <f t="shared" si="6"/>
        <v>8324.8768777091682</v>
      </c>
      <c r="H23" s="657">
        <f t="shared" si="7"/>
        <v>8324.8768777091682</v>
      </c>
      <c r="I23" s="662">
        <f t="shared" si="8"/>
        <v>0</v>
      </c>
      <c r="J23" s="662"/>
      <c r="K23" s="132"/>
      <c r="L23" s="665">
        <f t="shared" si="0"/>
        <v>0</v>
      </c>
      <c r="M23" s="132"/>
      <c r="N23" s="665">
        <f t="shared" si="1"/>
        <v>0</v>
      </c>
      <c r="O23" s="665">
        <f t="shared" si="2"/>
        <v>0</v>
      </c>
      <c r="P23" s="631"/>
    </row>
    <row r="24" spans="2:16">
      <c r="B24" s="9" t="str">
        <f t="shared" si="9"/>
        <v/>
      </c>
      <c r="C24" s="658">
        <f>IF(D11="","-",+C23+1)</f>
        <v>2029</v>
      </c>
      <c r="D24" s="660">
        <f>IF(F23+SUM(E$17:E23)=D$10,F23,D$10-SUM(E$17:E23))</f>
        <v>60699.465717067367</v>
      </c>
      <c r="E24" s="482">
        <f t="shared" si="4"/>
        <v>1689.7071428571428</v>
      </c>
      <c r="F24" s="660">
        <f t="shared" si="5"/>
        <v>59009.758574210224</v>
      </c>
      <c r="G24" s="695">
        <f t="shared" si="6"/>
        <v>8142.7074455883267</v>
      </c>
      <c r="H24" s="657">
        <f t="shared" si="7"/>
        <v>8142.7074455883267</v>
      </c>
      <c r="I24" s="662">
        <f t="shared" si="8"/>
        <v>0</v>
      </c>
      <c r="J24" s="662"/>
      <c r="K24" s="132"/>
      <c r="L24" s="665">
        <f t="shared" si="0"/>
        <v>0</v>
      </c>
      <c r="M24" s="132"/>
      <c r="N24" s="665">
        <f t="shared" si="1"/>
        <v>0</v>
      </c>
      <c r="O24" s="665">
        <f t="shared" si="2"/>
        <v>0</v>
      </c>
      <c r="P24" s="631"/>
    </row>
    <row r="25" spans="2:16">
      <c r="B25" s="9" t="str">
        <f t="shared" si="9"/>
        <v/>
      </c>
      <c r="C25" s="658">
        <f>IF(D11="","-",+C24+1)</f>
        <v>2030</v>
      </c>
      <c r="D25" s="660">
        <f>IF(F24+SUM(E$17:E24)=D$10,F24,D$10-SUM(E$17:E24))</f>
        <v>59009.758574210224</v>
      </c>
      <c r="E25" s="482">
        <f t="shared" si="4"/>
        <v>1689.7071428571428</v>
      </c>
      <c r="F25" s="660">
        <f t="shared" si="5"/>
        <v>57320.05143135308</v>
      </c>
      <c r="G25" s="695">
        <f t="shared" si="6"/>
        <v>7960.538013467487</v>
      </c>
      <c r="H25" s="657">
        <f t="shared" si="7"/>
        <v>7960.538013467487</v>
      </c>
      <c r="I25" s="662">
        <f t="shared" si="8"/>
        <v>0</v>
      </c>
      <c r="J25" s="662"/>
      <c r="K25" s="132"/>
      <c r="L25" s="665">
        <f t="shared" si="0"/>
        <v>0</v>
      </c>
      <c r="M25" s="132"/>
      <c r="N25" s="665">
        <f t="shared" si="1"/>
        <v>0</v>
      </c>
      <c r="O25" s="665">
        <f t="shared" si="2"/>
        <v>0</v>
      </c>
      <c r="P25" s="631"/>
    </row>
    <row r="26" spans="2:16">
      <c r="B26" s="9" t="str">
        <f t="shared" si="9"/>
        <v/>
      </c>
      <c r="C26" s="658">
        <f>IF(D11="","-",+C25+1)</f>
        <v>2031</v>
      </c>
      <c r="D26" s="660">
        <f>IF(F25+SUM(E$17:E25)=D$10,F25,D$10-SUM(E$17:E25))</f>
        <v>57320.05143135308</v>
      </c>
      <c r="E26" s="482">
        <f t="shared" si="4"/>
        <v>1689.7071428571428</v>
      </c>
      <c r="F26" s="660">
        <f t="shared" si="5"/>
        <v>55630.344288495937</v>
      </c>
      <c r="G26" s="695">
        <f t="shared" si="6"/>
        <v>7778.3685813466454</v>
      </c>
      <c r="H26" s="657">
        <f t="shared" si="7"/>
        <v>7778.3685813466454</v>
      </c>
      <c r="I26" s="662">
        <f t="shared" si="8"/>
        <v>0</v>
      </c>
      <c r="J26" s="662"/>
      <c r="K26" s="132"/>
      <c r="L26" s="665">
        <f t="shared" si="0"/>
        <v>0</v>
      </c>
      <c r="M26" s="132"/>
      <c r="N26" s="665">
        <f t="shared" si="1"/>
        <v>0</v>
      </c>
      <c r="O26" s="665">
        <f t="shared" si="2"/>
        <v>0</v>
      </c>
      <c r="P26" s="631"/>
    </row>
    <row r="27" spans="2:16">
      <c r="B27" s="9" t="str">
        <f t="shared" si="9"/>
        <v/>
      </c>
      <c r="C27" s="658">
        <f>IF(D11="","-",+C26+1)</f>
        <v>2032</v>
      </c>
      <c r="D27" s="660">
        <f>IF(F26+SUM(E$17:E26)=D$10,F26,D$10-SUM(E$17:E26))</f>
        <v>55630.344288495937</v>
      </c>
      <c r="E27" s="482">
        <f t="shared" si="4"/>
        <v>1689.7071428571428</v>
      </c>
      <c r="F27" s="660">
        <f t="shared" si="5"/>
        <v>53940.637145638793</v>
      </c>
      <c r="G27" s="695">
        <f t="shared" si="6"/>
        <v>7596.1991492258057</v>
      </c>
      <c r="H27" s="657">
        <f t="shared" si="7"/>
        <v>7596.1991492258057</v>
      </c>
      <c r="I27" s="662">
        <f t="shared" si="8"/>
        <v>0</v>
      </c>
      <c r="J27" s="662"/>
      <c r="K27" s="132"/>
      <c r="L27" s="665">
        <f t="shared" si="0"/>
        <v>0</v>
      </c>
      <c r="M27" s="132"/>
      <c r="N27" s="665">
        <f t="shared" si="1"/>
        <v>0</v>
      </c>
      <c r="O27" s="665">
        <f t="shared" si="2"/>
        <v>0</v>
      </c>
      <c r="P27" s="631"/>
    </row>
    <row r="28" spans="2:16">
      <c r="B28" s="9" t="str">
        <f t="shared" si="9"/>
        <v/>
      </c>
      <c r="C28" s="658">
        <f>IF(D11="","-",+C27+1)</f>
        <v>2033</v>
      </c>
      <c r="D28" s="660">
        <f>IF(F27+SUM(E$17:E27)=D$10,F27,D$10-SUM(E$17:E27))</f>
        <v>53940.637145638793</v>
      </c>
      <c r="E28" s="482">
        <f t="shared" si="4"/>
        <v>1689.7071428571428</v>
      </c>
      <c r="F28" s="660">
        <f t="shared" si="5"/>
        <v>52250.93000278165</v>
      </c>
      <c r="G28" s="695">
        <f t="shared" si="6"/>
        <v>7414.0297171049642</v>
      </c>
      <c r="H28" s="657">
        <f t="shared" si="7"/>
        <v>7414.0297171049642</v>
      </c>
      <c r="I28" s="662">
        <f t="shared" si="8"/>
        <v>0</v>
      </c>
      <c r="J28" s="662"/>
      <c r="K28" s="132"/>
      <c r="L28" s="665">
        <f t="shared" si="0"/>
        <v>0</v>
      </c>
      <c r="M28" s="132"/>
      <c r="N28" s="665">
        <f t="shared" si="1"/>
        <v>0</v>
      </c>
      <c r="O28" s="665">
        <f t="shared" si="2"/>
        <v>0</v>
      </c>
      <c r="P28" s="631"/>
    </row>
    <row r="29" spans="2:16">
      <c r="B29" s="9" t="str">
        <f t="shared" si="9"/>
        <v/>
      </c>
      <c r="C29" s="658">
        <f>IF(D11="","-",+C28+1)</f>
        <v>2034</v>
      </c>
      <c r="D29" s="660">
        <f>IF(F28+SUM(E$17:E28)=D$10,F28,D$10-SUM(E$17:E28))</f>
        <v>52250.93000278165</v>
      </c>
      <c r="E29" s="482">
        <f t="shared" si="4"/>
        <v>1689.7071428571428</v>
      </c>
      <c r="F29" s="660">
        <f t="shared" si="5"/>
        <v>50561.222859924506</v>
      </c>
      <c r="G29" s="695">
        <f t="shared" si="6"/>
        <v>7231.8602849841245</v>
      </c>
      <c r="H29" s="657">
        <f t="shared" si="7"/>
        <v>7231.8602849841245</v>
      </c>
      <c r="I29" s="662">
        <f t="shared" si="8"/>
        <v>0</v>
      </c>
      <c r="J29" s="662"/>
      <c r="K29" s="132"/>
      <c r="L29" s="665">
        <f t="shared" si="0"/>
        <v>0</v>
      </c>
      <c r="M29" s="132"/>
      <c r="N29" s="665">
        <f t="shared" si="1"/>
        <v>0</v>
      </c>
      <c r="O29" s="665">
        <f t="shared" si="2"/>
        <v>0</v>
      </c>
      <c r="P29" s="631"/>
    </row>
    <row r="30" spans="2:16">
      <c r="B30" s="9" t="str">
        <f t="shared" si="9"/>
        <v/>
      </c>
      <c r="C30" s="658">
        <f>IF(D11="","-",+C29+1)</f>
        <v>2035</v>
      </c>
      <c r="D30" s="660">
        <f>IF(F29+SUM(E$17:E29)=D$10,F29,D$10-SUM(E$17:E29))</f>
        <v>50561.222859924506</v>
      </c>
      <c r="E30" s="482">
        <f t="shared" si="4"/>
        <v>1689.7071428571428</v>
      </c>
      <c r="F30" s="660">
        <f t="shared" si="5"/>
        <v>48871.515717067363</v>
      </c>
      <c r="G30" s="695">
        <f t="shared" si="6"/>
        <v>7049.690852863283</v>
      </c>
      <c r="H30" s="657">
        <f t="shared" si="7"/>
        <v>7049.690852863283</v>
      </c>
      <c r="I30" s="662">
        <f t="shared" si="8"/>
        <v>0</v>
      </c>
      <c r="J30" s="662"/>
      <c r="K30" s="132"/>
      <c r="L30" s="665">
        <f t="shared" si="0"/>
        <v>0</v>
      </c>
      <c r="M30" s="132"/>
      <c r="N30" s="665">
        <f t="shared" si="1"/>
        <v>0</v>
      </c>
      <c r="O30" s="665">
        <f t="shared" si="2"/>
        <v>0</v>
      </c>
      <c r="P30" s="631"/>
    </row>
    <row r="31" spans="2:16">
      <c r="B31" s="9" t="str">
        <f t="shared" si="9"/>
        <v/>
      </c>
      <c r="C31" s="658">
        <f>IF(D11="","-",+C30+1)</f>
        <v>2036</v>
      </c>
      <c r="D31" s="660">
        <f>IF(F30+SUM(E$17:E30)=D$10,F30,D$10-SUM(E$17:E30))</f>
        <v>48871.515717067363</v>
      </c>
      <c r="E31" s="482">
        <f t="shared" si="4"/>
        <v>1689.7071428571428</v>
      </c>
      <c r="F31" s="660">
        <f t="shared" si="5"/>
        <v>47181.808574210219</v>
      </c>
      <c r="G31" s="695">
        <f t="shared" si="6"/>
        <v>6867.5214207424424</v>
      </c>
      <c r="H31" s="657">
        <f t="shared" si="7"/>
        <v>6867.5214207424424</v>
      </c>
      <c r="I31" s="662">
        <f t="shared" si="8"/>
        <v>0</v>
      </c>
      <c r="J31" s="662"/>
      <c r="K31" s="132"/>
      <c r="L31" s="665">
        <f t="shared" si="0"/>
        <v>0</v>
      </c>
      <c r="M31" s="132"/>
      <c r="N31" s="665">
        <f t="shared" si="1"/>
        <v>0</v>
      </c>
      <c r="O31" s="665">
        <f t="shared" si="2"/>
        <v>0</v>
      </c>
      <c r="P31" s="631"/>
    </row>
    <row r="32" spans="2:16">
      <c r="B32" s="9" t="str">
        <f t="shared" si="9"/>
        <v/>
      </c>
      <c r="C32" s="658">
        <f>IF(D11="","-",+C31+1)</f>
        <v>2037</v>
      </c>
      <c r="D32" s="660">
        <f>IF(F31+SUM(E$17:E31)=D$10,F31,D$10-SUM(E$17:E31))</f>
        <v>47181.808574210219</v>
      </c>
      <c r="E32" s="482">
        <f t="shared" si="4"/>
        <v>1689.7071428571428</v>
      </c>
      <c r="F32" s="660">
        <f t="shared" si="5"/>
        <v>45492.101431353076</v>
      </c>
      <c r="G32" s="695">
        <f t="shared" si="6"/>
        <v>6685.3519886216018</v>
      </c>
      <c r="H32" s="657">
        <f t="shared" si="7"/>
        <v>6685.3519886216018</v>
      </c>
      <c r="I32" s="662">
        <f t="shared" si="8"/>
        <v>0</v>
      </c>
      <c r="J32" s="662"/>
      <c r="K32" s="132"/>
      <c r="L32" s="665">
        <f t="shared" si="0"/>
        <v>0</v>
      </c>
      <c r="M32" s="132"/>
      <c r="N32" s="665">
        <f t="shared" si="1"/>
        <v>0</v>
      </c>
      <c r="O32" s="665">
        <f t="shared" si="2"/>
        <v>0</v>
      </c>
      <c r="P32" s="631"/>
    </row>
    <row r="33" spans="2:16">
      <c r="B33" s="9" t="str">
        <f t="shared" si="9"/>
        <v/>
      </c>
      <c r="C33" s="658">
        <f>IF(D11="","-",+C32+1)</f>
        <v>2038</v>
      </c>
      <c r="D33" s="660">
        <f>IF(F32+SUM(E$17:E32)=D$10,F32,D$10-SUM(E$17:E32))</f>
        <v>45492.101431353076</v>
      </c>
      <c r="E33" s="482">
        <f t="shared" si="4"/>
        <v>1689.7071428571428</v>
      </c>
      <c r="F33" s="660">
        <f t="shared" si="5"/>
        <v>43802.394288495932</v>
      </c>
      <c r="G33" s="695">
        <f t="shared" si="6"/>
        <v>6503.1825565007612</v>
      </c>
      <c r="H33" s="657">
        <f t="shared" si="7"/>
        <v>6503.1825565007612</v>
      </c>
      <c r="I33" s="662">
        <f t="shared" si="8"/>
        <v>0</v>
      </c>
      <c r="J33" s="662"/>
      <c r="K33" s="132"/>
      <c r="L33" s="665">
        <f t="shared" si="0"/>
        <v>0</v>
      </c>
      <c r="M33" s="132"/>
      <c r="N33" s="665">
        <f t="shared" si="1"/>
        <v>0</v>
      </c>
      <c r="O33" s="665">
        <f t="shared" si="2"/>
        <v>0</v>
      </c>
      <c r="P33" s="631"/>
    </row>
    <row r="34" spans="2:16">
      <c r="B34" s="9" t="str">
        <f t="shared" si="9"/>
        <v/>
      </c>
      <c r="C34" s="658">
        <f>IF(D11="","-",+C33+1)</f>
        <v>2039</v>
      </c>
      <c r="D34" s="660">
        <f>IF(F33+SUM(E$17:E33)=D$10,F33,D$10-SUM(E$17:E33))</f>
        <v>43802.394288495932</v>
      </c>
      <c r="E34" s="482">
        <f t="shared" si="4"/>
        <v>1689.7071428571428</v>
      </c>
      <c r="F34" s="660">
        <f t="shared" si="5"/>
        <v>42112.687145638789</v>
      </c>
      <c r="G34" s="695">
        <f t="shared" si="6"/>
        <v>6321.0131243799196</v>
      </c>
      <c r="H34" s="657">
        <f t="shared" si="7"/>
        <v>6321.0131243799196</v>
      </c>
      <c r="I34" s="662">
        <f t="shared" si="8"/>
        <v>0</v>
      </c>
      <c r="J34" s="662"/>
      <c r="K34" s="132"/>
      <c r="L34" s="665">
        <f t="shared" si="0"/>
        <v>0</v>
      </c>
      <c r="M34" s="132"/>
      <c r="N34" s="665">
        <f t="shared" si="1"/>
        <v>0</v>
      </c>
      <c r="O34" s="665">
        <f t="shared" si="2"/>
        <v>0</v>
      </c>
      <c r="P34" s="631"/>
    </row>
    <row r="35" spans="2:16">
      <c r="B35" s="9" t="str">
        <f t="shared" si="9"/>
        <v/>
      </c>
      <c r="C35" s="658">
        <f>IF(D11="","-",+C34+1)</f>
        <v>2040</v>
      </c>
      <c r="D35" s="660">
        <f>IF(F34+SUM(E$17:E34)=D$10,F34,D$10-SUM(E$17:E34))</f>
        <v>42112.687145638789</v>
      </c>
      <c r="E35" s="482">
        <f t="shared" si="4"/>
        <v>1689.7071428571428</v>
      </c>
      <c r="F35" s="660">
        <f t="shared" si="5"/>
        <v>40422.980002781645</v>
      </c>
      <c r="G35" s="695">
        <f t="shared" si="6"/>
        <v>6138.8436922590799</v>
      </c>
      <c r="H35" s="657">
        <f t="shared" si="7"/>
        <v>6138.8436922590799</v>
      </c>
      <c r="I35" s="662">
        <f t="shared" si="8"/>
        <v>0</v>
      </c>
      <c r="J35" s="662"/>
      <c r="K35" s="132"/>
      <c r="L35" s="665">
        <f t="shared" si="0"/>
        <v>0</v>
      </c>
      <c r="M35" s="132"/>
      <c r="N35" s="665">
        <f t="shared" si="1"/>
        <v>0</v>
      </c>
      <c r="O35" s="665">
        <f t="shared" si="2"/>
        <v>0</v>
      </c>
      <c r="P35" s="631"/>
    </row>
    <row r="36" spans="2:16">
      <c r="B36" s="9" t="str">
        <f t="shared" si="9"/>
        <v/>
      </c>
      <c r="C36" s="658">
        <f>IF(D11="","-",+C35+1)</f>
        <v>2041</v>
      </c>
      <c r="D36" s="660">
        <f>IF(F35+SUM(E$17:E35)=D$10,F35,D$10-SUM(E$17:E35))</f>
        <v>40422.980002781645</v>
      </c>
      <c r="E36" s="482">
        <f t="shared" si="4"/>
        <v>1689.7071428571428</v>
      </c>
      <c r="F36" s="660">
        <f t="shared" si="5"/>
        <v>38733.272859924502</v>
      </c>
      <c r="G36" s="695">
        <f t="shared" si="6"/>
        <v>5956.6742601382384</v>
      </c>
      <c r="H36" s="657">
        <f t="shared" si="7"/>
        <v>5956.6742601382384</v>
      </c>
      <c r="I36" s="662">
        <f t="shared" si="8"/>
        <v>0</v>
      </c>
      <c r="J36" s="662"/>
      <c r="K36" s="132"/>
      <c r="L36" s="665">
        <f t="shared" si="0"/>
        <v>0</v>
      </c>
      <c r="M36" s="132"/>
      <c r="N36" s="665">
        <f t="shared" si="1"/>
        <v>0</v>
      </c>
      <c r="O36" s="665">
        <f t="shared" si="2"/>
        <v>0</v>
      </c>
      <c r="P36" s="631"/>
    </row>
    <row r="37" spans="2:16">
      <c r="B37" s="9" t="str">
        <f t="shared" si="9"/>
        <v/>
      </c>
      <c r="C37" s="658">
        <f>IF(D11="","-",+C36+1)</f>
        <v>2042</v>
      </c>
      <c r="D37" s="660">
        <f>IF(F36+SUM(E$17:E36)=D$10,F36,D$10-SUM(E$17:E36))</f>
        <v>38733.272859924502</v>
      </c>
      <c r="E37" s="482">
        <f t="shared" si="4"/>
        <v>1689.7071428571428</v>
      </c>
      <c r="F37" s="660">
        <f t="shared" si="5"/>
        <v>37043.565717067358</v>
      </c>
      <c r="G37" s="695">
        <f t="shared" si="6"/>
        <v>5774.5048280173987</v>
      </c>
      <c r="H37" s="657">
        <f t="shared" si="7"/>
        <v>5774.5048280173987</v>
      </c>
      <c r="I37" s="662">
        <f t="shared" si="8"/>
        <v>0</v>
      </c>
      <c r="J37" s="662"/>
      <c r="K37" s="132"/>
      <c r="L37" s="665">
        <f t="shared" si="0"/>
        <v>0</v>
      </c>
      <c r="M37" s="132"/>
      <c r="N37" s="665">
        <f t="shared" si="1"/>
        <v>0</v>
      </c>
      <c r="O37" s="665">
        <f t="shared" si="2"/>
        <v>0</v>
      </c>
      <c r="P37" s="631"/>
    </row>
    <row r="38" spans="2:16">
      <c r="B38" s="9" t="str">
        <f t="shared" si="9"/>
        <v/>
      </c>
      <c r="C38" s="658">
        <f>IF(D11="","-",+C37+1)</f>
        <v>2043</v>
      </c>
      <c r="D38" s="660">
        <f>IF(F37+SUM(E$17:E37)=D$10,F37,D$10-SUM(E$17:E37))</f>
        <v>37043.565717067358</v>
      </c>
      <c r="E38" s="482">
        <f t="shared" si="4"/>
        <v>1689.7071428571428</v>
      </c>
      <c r="F38" s="660">
        <f t="shared" si="5"/>
        <v>35353.858574210215</v>
      </c>
      <c r="G38" s="695">
        <f t="shared" si="6"/>
        <v>5592.3353958965572</v>
      </c>
      <c r="H38" s="657">
        <f t="shared" si="7"/>
        <v>5592.3353958965572</v>
      </c>
      <c r="I38" s="662">
        <f t="shared" si="8"/>
        <v>0</v>
      </c>
      <c r="J38" s="662"/>
      <c r="K38" s="132"/>
      <c r="L38" s="665">
        <f t="shared" si="0"/>
        <v>0</v>
      </c>
      <c r="M38" s="132"/>
      <c r="N38" s="665">
        <f t="shared" si="1"/>
        <v>0</v>
      </c>
      <c r="O38" s="665">
        <f t="shared" si="2"/>
        <v>0</v>
      </c>
      <c r="P38" s="631"/>
    </row>
    <row r="39" spans="2:16">
      <c r="B39" s="9" t="str">
        <f t="shared" si="9"/>
        <v/>
      </c>
      <c r="C39" s="658">
        <f>IF(D11="","-",+C38+1)</f>
        <v>2044</v>
      </c>
      <c r="D39" s="660">
        <f>IF(F38+SUM(E$17:E38)=D$10,F38,D$10-SUM(E$17:E38))</f>
        <v>35353.858574210215</v>
      </c>
      <c r="E39" s="482">
        <f t="shared" si="4"/>
        <v>1689.7071428571428</v>
      </c>
      <c r="F39" s="660">
        <f t="shared" si="5"/>
        <v>33664.151431353072</v>
      </c>
      <c r="G39" s="695">
        <f t="shared" si="6"/>
        <v>5410.1659637757175</v>
      </c>
      <c r="H39" s="657">
        <f t="shared" si="7"/>
        <v>5410.1659637757175</v>
      </c>
      <c r="I39" s="662">
        <f t="shared" si="8"/>
        <v>0</v>
      </c>
      <c r="J39" s="662"/>
      <c r="K39" s="132"/>
      <c r="L39" s="665">
        <f t="shared" si="0"/>
        <v>0</v>
      </c>
      <c r="M39" s="132"/>
      <c r="N39" s="665">
        <f t="shared" si="1"/>
        <v>0</v>
      </c>
      <c r="O39" s="665">
        <f t="shared" si="2"/>
        <v>0</v>
      </c>
      <c r="P39" s="631"/>
    </row>
    <row r="40" spans="2:16">
      <c r="B40" s="9" t="str">
        <f t="shared" si="9"/>
        <v/>
      </c>
      <c r="C40" s="658">
        <f>IF(D11="","-",+C39+1)</f>
        <v>2045</v>
      </c>
      <c r="D40" s="660">
        <f>IF(F39+SUM(E$17:E39)=D$10,F39,D$10-SUM(E$17:E39))</f>
        <v>33664.151431353072</v>
      </c>
      <c r="E40" s="482">
        <f t="shared" si="4"/>
        <v>1689.7071428571428</v>
      </c>
      <c r="F40" s="660">
        <f t="shared" si="5"/>
        <v>31974.444288495928</v>
      </c>
      <c r="G40" s="695">
        <f t="shared" si="6"/>
        <v>5227.996531654876</v>
      </c>
      <c r="H40" s="657">
        <f t="shared" si="7"/>
        <v>5227.996531654876</v>
      </c>
      <c r="I40" s="662">
        <f t="shared" si="8"/>
        <v>0</v>
      </c>
      <c r="J40" s="662"/>
      <c r="K40" s="132"/>
      <c r="L40" s="665">
        <f t="shared" si="0"/>
        <v>0</v>
      </c>
      <c r="M40" s="132"/>
      <c r="N40" s="665">
        <f t="shared" si="1"/>
        <v>0</v>
      </c>
      <c r="O40" s="665">
        <f t="shared" si="2"/>
        <v>0</v>
      </c>
      <c r="P40" s="631"/>
    </row>
    <row r="41" spans="2:16">
      <c r="B41" s="9" t="str">
        <f t="shared" si="9"/>
        <v/>
      </c>
      <c r="C41" s="658">
        <f>IF(D11="","-",+C40+1)</f>
        <v>2046</v>
      </c>
      <c r="D41" s="660">
        <f>IF(F40+SUM(E$17:E40)=D$10,F40,D$10-SUM(E$17:E40))</f>
        <v>31974.444288495928</v>
      </c>
      <c r="E41" s="482">
        <f t="shared" si="4"/>
        <v>1689.7071428571428</v>
      </c>
      <c r="F41" s="660">
        <f t="shared" si="5"/>
        <v>30284.737145638785</v>
      </c>
      <c r="G41" s="695">
        <f t="shared" si="6"/>
        <v>5045.8270995340363</v>
      </c>
      <c r="H41" s="657">
        <f t="shared" si="7"/>
        <v>5045.8270995340363</v>
      </c>
      <c r="I41" s="662">
        <f t="shared" si="8"/>
        <v>0</v>
      </c>
      <c r="J41" s="662"/>
      <c r="K41" s="132"/>
      <c r="L41" s="665">
        <f t="shared" si="0"/>
        <v>0</v>
      </c>
      <c r="M41" s="132"/>
      <c r="N41" s="665">
        <f t="shared" si="1"/>
        <v>0</v>
      </c>
      <c r="O41" s="665">
        <f t="shared" si="2"/>
        <v>0</v>
      </c>
      <c r="P41" s="631"/>
    </row>
    <row r="42" spans="2:16">
      <c r="B42" s="9" t="str">
        <f t="shared" si="9"/>
        <v/>
      </c>
      <c r="C42" s="658">
        <f>IF(D11="","-",+C41+1)</f>
        <v>2047</v>
      </c>
      <c r="D42" s="660">
        <f>IF(F41+SUM(E$17:E41)=D$10,F41,D$10-SUM(E$17:E41))</f>
        <v>30284.737145638785</v>
      </c>
      <c r="E42" s="482">
        <f t="shared" si="4"/>
        <v>1689.7071428571428</v>
      </c>
      <c r="F42" s="660">
        <f t="shared" si="5"/>
        <v>28595.030002781641</v>
      </c>
      <c r="G42" s="695">
        <f t="shared" si="6"/>
        <v>4863.6576674131957</v>
      </c>
      <c r="H42" s="657">
        <f t="shared" si="7"/>
        <v>4863.6576674131957</v>
      </c>
      <c r="I42" s="662">
        <f t="shared" si="8"/>
        <v>0</v>
      </c>
      <c r="J42" s="662"/>
      <c r="K42" s="132"/>
      <c r="L42" s="665">
        <f t="shared" si="0"/>
        <v>0</v>
      </c>
      <c r="M42" s="132"/>
      <c r="N42" s="665">
        <f t="shared" si="1"/>
        <v>0</v>
      </c>
      <c r="O42" s="665">
        <f t="shared" si="2"/>
        <v>0</v>
      </c>
      <c r="P42" s="631"/>
    </row>
    <row r="43" spans="2:16">
      <c r="B43" s="9" t="str">
        <f t="shared" si="9"/>
        <v/>
      </c>
      <c r="C43" s="658">
        <f>IF(D11="","-",+C42+1)</f>
        <v>2048</v>
      </c>
      <c r="D43" s="660">
        <f>IF(F42+SUM(E$17:E42)=D$10,F42,D$10-SUM(E$17:E42))</f>
        <v>28595.030002781641</v>
      </c>
      <c r="E43" s="482">
        <f t="shared" si="4"/>
        <v>1689.7071428571428</v>
      </c>
      <c r="F43" s="660">
        <f t="shared" si="5"/>
        <v>26905.322859924498</v>
      </c>
      <c r="G43" s="695">
        <f t="shared" si="6"/>
        <v>4681.4882352923551</v>
      </c>
      <c r="H43" s="657">
        <f t="shared" si="7"/>
        <v>4681.4882352923551</v>
      </c>
      <c r="I43" s="662">
        <f t="shared" si="8"/>
        <v>0</v>
      </c>
      <c r="J43" s="662"/>
      <c r="K43" s="132"/>
      <c r="L43" s="665">
        <f t="shared" si="0"/>
        <v>0</v>
      </c>
      <c r="M43" s="132"/>
      <c r="N43" s="665">
        <f t="shared" si="1"/>
        <v>0</v>
      </c>
      <c r="O43" s="665">
        <f t="shared" si="2"/>
        <v>0</v>
      </c>
      <c r="P43" s="631"/>
    </row>
    <row r="44" spans="2:16">
      <c r="B44" s="9" t="str">
        <f t="shared" si="9"/>
        <v/>
      </c>
      <c r="C44" s="658">
        <f>IF(D11="","-",+C43+1)</f>
        <v>2049</v>
      </c>
      <c r="D44" s="660">
        <f>IF(F43+SUM(E$17:E43)=D$10,F43,D$10-SUM(E$17:E43))</f>
        <v>26905.322859924498</v>
      </c>
      <c r="E44" s="482">
        <f t="shared" si="4"/>
        <v>1689.7071428571428</v>
      </c>
      <c r="F44" s="660">
        <f t="shared" si="5"/>
        <v>25215.615717067354</v>
      </c>
      <c r="G44" s="695">
        <f t="shared" si="6"/>
        <v>4499.3188031715144</v>
      </c>
      <c r="H44" s="657">
        <f t="shared" si="7"/>
        <v>4499.3188031715144</v>
      </c>
      <c r="I44" s="662">
        <f t="shared" si="8"/>
        <v>0</v>
      </c>
      <c r="J44" s="662"/>
      <c r="K44" s="132"/>
      <c r="L44" s="665">
        <f t="shared" si="0"/>
        <v>0</v>
      </c>
      <c r="M44" s="132"/>
      <c r="N44" s="665">
        <f t="shared" si="1"/>
        <v>0</v>
      </c>
      <c r="O44" s="665">
        <f t="shared" si="2"/>
        <v>0</v>
      </c>
      <c r="P44" s="631"/>
    </row>
    <row r="45" spans="2:16">
      <c r="B45" s="9" t="str">
        <f t="shared" si="9"/>
        <v/>
      </c>
      <c r="C45" s="658">
        <f>IF(D11="","-",+C44+1)</f>
        <v>2050</v>
      </c>
      <c r="D45" s="660">
        <f>IF(F44+SUM(E$17:E44)=D$10,F44,D$10-SUM(E$17:E44))</f>
        <v>25215.615717067354</v>
      </c>
      <c r="E45" s="482">
        <f t="shared" si="4"/>
        <v>1689.7071428571428</v>
      </c>
      <c r="F45" s="660">
        <f t="shared" si="5"/>
        <v>23525.908574210211</v>
      </c>
      <c r="G45" s="695">
        <f t="shared" si="6"/>
        <v>4317.1493710506729</v>
      </c>
      <c r="H45" s="657">
        <f t="shared" si="7"/>
        <v>4317.1493710506729</v>
      </c>
      <c r="I45" s="662">
        <f t="shared" si="8"/>
        <v>0</v>
      </c>
      <c r="J45" s="662"/>
      <c r="K45" s="132"/>
      <c r="L45" s="665">
        <f t="shared" si="0"/>
        <v>0</v>
      </c>
      <c r="M45" s="132"/>
      <c r="N45" s="665">
        <f t="shared" si="1"/>
        <v>0</v>
      </c>
      <c r="O45" s="665">
        <f t="shared" si="2"/>
        <v>0</v>
      </c>
      <c r="P45" s="631"/>
    </row>
    <row r="46" spans="2:16">
      <c r="B46" s="9" t="str">
        <f t="shared" si="9"/>
        <v/>
      </c>
      <c r="C46" s="658">
        <f>IF(D11="","-",+C45+1)</f>
        <v>2051</v>
      </c>
      <c r="D46" s="660">
        <f>IF(F45+SUM(E$17:E45)=D$10,F45,D$10-SUM(E$17:E45))</f>
        <v>23525.908574210211</v>
      </c>
      <c r="E46" s="482">
        <f t="shared" si="4"/>
        <v>1689.7071428571428</v>
      </c>
      <c r="F46" s="660">
        <f t="shared" si="5"/>
        <v>21836.201431353067</v>
      </c>
      <c r="G46" s="695">
        <f t="shared" si="6"/>
        <v>4134.9799389298323</v>
      </c>
      <c r="H46" s="657">
        <f t="shared" si="7"/>
        <v>4134.9799389298323</v>
      </c>
      <c r="I46" s="662">
        <f t="shared" si="8"/>
        <v>0</v>
      </c>
      <c r="J46" s="662"/>
      <c r="K46" s="132"/>
      <c r="L46" s="665">
        <f t="shared" si="0"/>
        <v>0</v>
      </c>
      <c r="M46" s="132"/>
      <c r="N46" s="665">
        <f t="shared" si="1"/>
        <v>0</v>
      </c>
      <c r="O46" s="665">
        <f t="shared" si="2"/>
        <v>0</v>
      </c>
      <c r="P46" s="631"/>
    </row>
    <row r="47" spans="2:16">
      <c r="B47" s="9" t="str">
        <f t="shared" si="9"/>
        <v/>
      </c>
      <c r="C47" s="658">
        <f>IF(D11="","-",+C46+1)</f>
        <v>2052</v>
      </c>
      <c r="D47" s="660">
        <f>IF(F46+SUM(E$17:E46)=D$10,F46,D$10-SUM(E$17:E46))</f>
        <v>21836.201431353067</v>
      </c>
      <c r="E47" s="482">
        <f t="shared" si="4"/>
        <v>1689.7071428571428</v>
      </c>
      <c r="F47" s="660">
        <f t="shared" si="5"/>
        <v>20146.494288495924</v>
      </c>
      <c r="G47" s="695">
        <f t="shared" si="6"/>
        <v>3952.8105068089917</v>
      </c>
      <c r="H47" s="657">
        <f t="shared" si="7"/>
        <v>3952.8105068089917</v>
      </c>
      <c r="I47" s="662">
        <f t="shared" si="8"/>
        <v>0</v>
      </c>
      <c r="J47" s="662"/>
      <c r="K47" s="132"/>
      <c r="L47" s="665">
        <f t="shared" si="0"/>
        <v>0</v>
      </c>
      <c r="M47" s="132"/>
      <c r="N47" s="665">
        <f t="shared" si="1"/>
        <v>0</v>
      </c>
      <c r="O47" s="665">
        <f t="shared" si="2"/>
        <v>0</v>
      </c>
      <c r="P47" s="631"/>
    </row>
    <row r="48" spans="2:16">
      <c r="B48" s="9" t="str">
        <f t="shared" si="9"/>
        <v/>
      </c>
      <c r="C48" s="658">
        <f>IF(D11="","-",+C47+1)</f>
        <v>2053</v>
      </c>
      <c r="D48" s="660">
        <f>IF(F47+SUM(E$17:E47)=D$10,F47,D$10-SUM(E$17:E47))</f>
        <v>20146.494288495924</v>
      </c>
      <c r="E48" s="482">
        <f t="shared" si="4"/>
        <v>1689.7071428571428</v>
      </c>
      <c r="F48" s="660">
        <f t="shared" si="5"/>
        <v>18456.78714563878</v>
      </c>
      <c r="G48" s="695">
        <f t="shared" si="6"/>
        <v>3770.6410746881511</v>
      </c>
      <c r="H48" s="657">
        <f t="shared" si="7"/>
        <v>3770.6410746881511</v>
      </c>
      <c r="I48" s="662">
        <f t="shared" si="8"/>
        <v>0</v>
      </c>
      <c r="J48" s="662"/>
      <c r="K48" s="132"/>
      <c r="L48" s="665">
        <f t="shared" si="0"/>
        <v>0</v>
      </c>
      <c r="M48" s="132"/>
      <c r="N48" s="665">
        <f t="shared" si="1"/>
        <v>0</v>
      </c>
      <c r="O48" s="665">
        <f t="shared" si="2"/>
        <v>0</v>
      </c>
      <c r="P48" s="631"/>
    </row>
    <row r="49" spans="2:16">
      <c r="B49" s="9" t="str">
        <f t="shared" si="9"/>
        <v/>
      </c>
      <c r="C49" s="658">
        <f>IF(D11="","-",+C48+1)</f>
        <v>2054</v>
      </c>
      <c r="D49" s="660">
        <f>IF(F48+SUM(E$17:E48)=D$10,F48,D$10-SUM(E$17:E48))</f>
        <v>18456.78714563878</v>
      </c>
      <c r="E49" s="482">
        <f t="shared" si="4"/>
        <v>1689.7071428571428</v>
      </c>
      <c r="F49" s="660">
        <f t="shared" si="5"/>
        <v>16767.080002781637</v>
      </c>
      <c r="G49" s="695">
        <f t="shared" si="6"/>
        <v>3588.4716425673105</v>
      </c>
      <c r="H49" s="657">
        <f t="shared" si="7"/>
        <v>3588.4716425673105</v>
      </c>
      <c r="I49" s="662">
        <f t="shared" si="8"/>
        <v>0</v>
      </c>
      <c r="J49" s="662"/>
      <c r="K49" s="132"/>
      <c r="L49" s="665">
        <f t="shared" si="0"/>
        <v>0</v>
      </c>
      <c r="M49" s="132"/>
      <c r="N49" s="665">
        <f t="shared" si="1"/>
        <v>0</v>
      </c>
      <c r="O49" s="665">
        <f t="shared" si="2"/>
        <v>0</v>
      </c>
      <c r="P49" s="631"/>
    </row>
    <row r="50" spans="2:16">
      <c r="B50" s="9" t="str">
        <f t="shared" si="9"/>
        <v/>
      </c>
      <c r="C50" s="658">
        <f>IF(D11="","-",+C49+1)</f>
        <v>2055</v>
      </c>
      <c r="D50" s="660">
        <f>IF(F49+SUM(E$17:E49)=D$10,F49,D$10-SUM(E$17:E49))</f>
        <v>16767.080002781637</v>
      </c>
      <c r="E50" s="482">
        <f t="shared" si="4"/>
        <v>1689.7071428571428</v>
      </c>
      <c r="F50" s="660">
        <f t="shared" si="5"/>
        <v>15077.372859924493</v>
      </c>
      <c r="G50" s="695">
        <f t="shared" si="6"/>
        <v>3406.3022104464699</v>
      </c>
      <c r="H50" s="657">
        <f t="shared" si="7"/>
        <v>3406.3022104464699</v>
      </c>
      <c r="I50" s="662">
        <f t="shared" si="8"/>
        <v>0</v>
      </c>
      <c r="J50" s="662"/>
      <c r="K50" s="132"/>
      <c r="L50" s="665">
        <f t="shared" si="0"/>
        <v>0</v>
      </c>
      <c r="M50" s="132"/>
      <c r="N50" s="665">
        <f t="shared" si="1"/>
        <v>0</v>
      </c>
      <c r="O50" s="665">
        <f t="shared" si="2"/>
        <v>0</v>
      </c>
      <c r="P50" s="631"/>
    </row>
    <row r="51" spans="2:16">
      <c r="B51" s="9" t="str">
        <f t="shared" si="9"/>
        <v/>
      </c>
      <c r="C51" s="658">
        <f>IF(D11="","-",+C50+1)</f>
        <v>2056</v>
      </c>
      <c r="D51" s="660">
        <f>IF(F50+SUM(E$17:E50)=D$10,F50,D$10-SUM(E$17:E50))</f>
        <v>15077.372859924493</v>
      </c>
      <c r="E51" s="482">
        <f t="shared" si="4"/>
        <v>1689.7071428571428</v>
      </c>
      <c r="F51" s="660">
        <f t="shared" si="5"/>
        <v>13387.66571706735</v>
      </c>
      <c r="G51" s="695">
        <f t="shared" si="6"/>
        <v>3224.1327783256293</v>
      </c>
      <c r="H51" s="657">
        <f t="shared" si="7"/>
        <v>3224.1327783256293</v>
      </c>
      <c r="I51" s="662">
        <f t="shared" si="8"/>
        <v>0</v>
      </c>
      <c r="J51" s="662"/>
      <c r="K51" s="132"/>
      <c r="L51" s="665">
        <f t="shared" si="0"/>
        <v>0</v>
      </c>
      <c r="M51" s="132"/>
      <c r="N51" s="665">
        <f t="shared" si="1"/>
        <v>0</v>
      </c>
      <c r="O51" s="665">
        <f t="shared" si="2"/>
        <v>0</v>
      </c>
      <c r="P51" s="631"/>
    </row>
    <row r="52" spans="2:16">
      <c r="B52" s="9" t="str">
        <f t="shared" si="9"/>
        <v/>
      </c>
      <c r="C52" s="658">
        <f>IF(D11="","-",+C51+1)</f>
        <v>2057</v>
      </c>
      <c r="D52" s="660">
        <f>IF(F51+SUM(E$17:E51)=D$10,F51,D$10-SUM(E$17:E51))</f>
        <v>13387.66571706735</v>
      </c>
      <c r="E52" s="482">
        <f t="shared" si="4"/>
        <v>1689.7071428571428</v>
      </c>
      <c r="F52" s="660">
        <f t="shared" si="5"/>
        <v>11697.958574210206</v>
      </c>
      <c r="G52" s="695">
        <f t="shared" si="6"/>
        <v>3041.9633462047886</v>
      </c>
      <c r="H52" s="657">
        <f t="shared" si="7"/>
        <v>3041.9633462047886</v>
      </c>
      <c r="I52" s="662">
        <f t="shared" si="8"/>
        <v>0</v>
      </c>
      <c r="J52" s="662"/>
      <c r="K52" s="132"/>
      <c r="L52" s="665">
        <f t="shared" si="0"/>
        <v>0</v>
      </c>
      <c r="M52" s="132"/>
      <c r="N52" s="665">
        <f t="shared" si="1"/>
        <v>0</v>
      </c>
      <c r="O52" s="665">
        <f t="shared" si="2"/>
        <v>0</v>
      </c>
      <c r="P52" s="631"/>
    </row>
    <row r="53" spans="2:16">
      <c r="B53" s="9" t="str">
        <f t="shared" si="9"/>
        <v/>
      </c>
      <c r="C53" s="658">
        <f>IF(D11="","-",+C52+1)</f>
        <v>2058</v>
      </c>
      <c r="D53" s="660">
        <f>IF(F52+SUM(E$17:E52)=D$10,F52,D$10-SUM(E$17:E52))</f>
        <v>11697.958574210206</v>
      </c>
      <c r="E53" s="482">
        <f t="shared" si="4"/>
        <v>1689.7071428571428</v>
      </c>
      <c r="F53" s="660">
        <f t="shared" si="5"/>
        <v>10008.251431353063</v>
      </c>
      <c r="G53" s="695">
        <f t="shared" si="6"/>
        <v>2859.793914083948</v>
      </c>
      <c r="H53" s="657">
        <f t="shared" si="7"/>
        <v>2859.793914083948</v>
      </c>
      <c r="I53" s="662">
        <f t="shared" si="8"/>
        <v>0</v>
      </c>
      <c r="J53" s="662"/>
      <c r="K53" s="132"/>
      <c r="L53" s="665">
        <f t="shared" si="0"/>
        <v>0</v>
      </c>
      <c r="M53" s="132"/>
      <c r="N53" s="665">
        <f t="shared" si="1"/>
        <v>0</v>
      </c>
      <c r="O53" s="665">
        <f t="shared" si="2"/>
        <v>0</v>
      </c>
      <c r="P53" s="631"/>
    </row>
    <row r="54" spans="2:16">
      <c r="B54" s="9" t="str">
        <f t="shared" si="9"/>
        <v/>
      </c>
      <c r="C54" s="658">
        <f>IF(D11="","-",+C53+1)</f>
        <v>2059</v>
      </c>
      <c r="D54" s="660">
        <f>IF(F53+SUM(E$17:E53)=D$10,F53,D$10-SUM(E$17:E53))</f>
        <v>10008.251431353063</v>
      </c>
      <c r="E54" s="482">
        <f t="shared" si="4"/>
        <v>1689.7071428571428</v>
      </c>
      <c r="F54" s="660">
        <f t="shared" si="5"/>
        <v>8318.5442884959193</v>
      </c>
      <c r="G54" s="695">
        <f t="shared" si="6"/>
        <v>2677.6244819631074</v>
      </c>
      <c r="H54" s="657">
        <f t="shared" si="7"/>
        <v>2677.6244819631074</v>
      </c>
      <c r="I54" s="662">
        <f t="shared" si="8"/>
        <v>0</v>
      </c>
      <c r="J54" s="662"/>
      <c r="K54" s="132"/>
      <c r="L54" s="665">
        <f t="shared" si="0"/>
        <v>0</v>
      </c>
      <c r="M54" s="132"/>
      <c r="N54" s="665">
        <f t="shared" si="1"/>
        <v>0</v>
      </c>
      <c r="O54" s="665">
        <f t="shared" si="2"/>
        <v>0</v>
      </c>
      <c r="P54" s="631"/>
    </row>
    <row r="55" spans="2:16">
      <c r="B55" s="9" t="str">
        <f t="shared" si="9"/>
        <v/>
      </c>
      <c r="C55" s="658">
        <f>IF(D11="","-",+C54+1)</f>
        <v>2060</v>
      </c>
      <c r="D55" s="660">
        <f>IF(F54+SUM(E$17:E54)=D$10,F54,D$10-SUM(E$17:E54))</f>
        <v>8318.5442884959193</v>
      </c>
      <c r="E55" s="482">
        <f t="shared" si="4"/>
        <v>1689.7071428571428</v>
      </c>
      <c r="F55" s="660">
        <f t="shared" si="5"/>
        <v>6628.8371456387767</v>
      </c>
      <c r="G55" s="695">
        <f t="shared" si="6"/>
        <v>2495.4550498422668</v>
      </c>
      <c r="H55" s="657">
        <f t="shared" si="7"/>
        <v>2495.4550498422668</v>
      </c>
      <c r="I55" s="662">
        <f t="shared" si="8"/>
        <v>0</v>
      </c>
      <c r="J55" s="662"/>
      <c r="K55" s="132"/>
      <c r="L55" s="665">
        <f t="shared" si="0"/>
        <v>0</v>
      </c>
      <c r="M55" s="132"/>
      <c r="N55" s="665">
        <f t="shared" si="1"/>
        <v>0</v>
      </c>
      <c r="O55" s="665">
        <f t="shared" si="2"/>
        <v>0</v>
      </c>
      <c r="P55" s="631"/>
    </row>
    <row r="56" spans="2:16">
      <c r="B56" s="9" t="str">
        <f t="shared" si="9"/>
        <v/>
      </c>
      <c r="C56" s="658">
        <f>IF(D11="","-",+C55+1)</f>
        <v>2061</v>
      </c>
      <c r="D56" s="660">
        <f>IF(F55+SUM(E$17:E55)=D$10,F55,D$10-SUM(E$17:E55))</f>
        <v>6628.8371456387767</v>
      </c>
      <c r="E56" s="482">
        <f t="shared" si="4"/>
        <v>1689.7071428571428</v>
      </c>
      <c r="F56" s="660">
        <f t="shared" si="5"/>
        <v>4939.1300027816342</v>
      </c>
      <c r="G56" s="695">
        <f t="shared" si="6"/>
        <v>2313.2856177214262</v>
      </c>
      <c r="H56" s="657">
        <f t="shared" si="7"/>
        <v>2313.2856177214262</v>
      </c>
      <c r="I56" s="662">
        <f t="shared" si="8"/>
        <v>0</v>
      </c>
      <c r="J56" s="662"/>
      <c r="K56" s="132"/>
      <c r="L56" s="665">
        <f t="shared" si="0"/>
        <v>0</v>
      </c>
      <c r="M56" s="132"/>
      <c r="N56" s="665">
        <f t="shared" si="1"/>
        <v>0</v>
      </c>
      <c r="O56" s="665">
        <f t="shared" si="2"/>
        <v>0</v>
      </c>
      <c r="P56" s="631"/>
    </row>
    <row r="57" spans="2:16">
      <c r="B57" s="9" t="str">
        <f t="shared" si="9"/>
        <v/>
      </c>
      <c r="C57" s="658">
        <f>IF(D11="","-",+C56+1)</f>
        <v>2062</v>
      </c>
      <c r="D57" s="660">
        <f>IF(F56+SUM(E$17:E56)=D$10,F56,D$10-SUM(E$17:E56))</f>
        <v>4939.1300027816342</v>
      </c>
      <c r="E57" s="482">
        <f t="shared" si="4"/>
        <v>1689.7071428571428</v>
      </c>
      <c r="F57" s="660">
        <f t="shared" si="5"/>
        <v>3249.4228599244916</v>
      </c>
      <c r="G57" s="695">
        <f t="shared" si="6"/>
        <v>2131.1161856005856</v>
      </c>
      <c r="H57" s="657">
        <f t="shared" si="7"/>
        <v>2131.1161856005856</v>
      </c>
      <c r="I57" s="662">
        <f t="shared" si="8"/>
        <v>0</v>
      </c>
      <c r="J57" s="662"/>
      <c r="K57" s="132"/>
      <c r="L57" s="665">
        <f t="shared" si="0"/>
        <v>0</v>
      </c>
      <c r="M57" s="132"/>
      <c r="N57" s="665">
        <f t="shared" si="1"/>
        <v>0</v>
      </c>
      <c r="O57" s="665">
        <f t="shared" si="2"/>
        <v>0</v>
      </c>
      <c r="P57" s="631"/>
    </row>
    <row r="58" spans="2:16">
      <c r="B58" s="9" t="str">
        <f t="shared" si="9"/>
        <v/>
      </c>
      <c r="C58" s="658">
        <f>IF(D11="","-",+C57+1)</f>
        <v>2063</v>
      </c>
      <c r="D58" s="660">
        <f>IF(F57+SUM(E$17:E57)=D$10,F57,D$10-SUM(E$17:E57))</f>
        <v>3249.4228599244916</v>
      </c>
      <c r="E58" s="482">
        <f t="shared" si="4"/>
        <v>1689.7071428571428</v>
      </c>
      <c r="F58" s="660">
        <f t="shared" si="5"/>
        <v>1559.7157170673488</v>
      </c>
      <c r="G58" s="695">
        <f t="shared" si="6"/>
        <v>1948.946753479745</v>
      </c>
      <c r="H58" s="657">
        <f t="shared" si="7"/>
        <v>1948.946753479745</v>
      </c>
      <c r="I58" s="662">
        <f t="shared" si="8"/>
        <v>0</v>
      </c>
      <c r="J58" s="662"/>
      <c r="K58" s="132"/>
      <c r="L58" s="665">
        <f t="shared" si="0"/>
        <v>0</v>
      </c>
      <c r="M58" s="132"/>
      <c r="N58" s="665">
        <f t="shared" si="1"/>
        <v>0</v>
      </c>
      <c r="O58" s="665">
        <f t="shared" si="2"/>
        <v>0</v>
      </c>
      <c r="P58" s="631"/>
    </row>
    <row r="59" spans="2:16">
      <c r="B59" s="9" t="str">
        <f t="shared" si="9"/>
        <v/>
      </c>
      <c r="C59" s="658">
        <f>IF(D11="","-",+C58+1)</f>
        <v>2064</v>
      </c>
      <c r="D59" s="660">
        <f>IF(F58+SUM(E$17:E58)=D$10,F58,D$10-SUM(E$17:E58))</f>
        <v>1559.7157170673488</v>
      </c>
      <c r="E59" s="482">
        <f t="shared" si="4"/>
        <v>1559.7157170673488</v>
      </c>
      <c r="F59" s="660">
        <f t="shared" si="5"/>
        <v>0</v>
      </c>
      <c r="G59" s="695">
        <f t="shared" si="6"/>
        <v>1643.7931643484399</v>
      </c>
      <c r="H59" s="657">
        <f t="shared" si="7"/>
        <v>1643.7931643484399</v>
      </c>
      <c r="I59" s="662">
        <f t="shared" si="8"/>
        <v>0</v>
      </c>
      <c r="J59" s="662"/>
      <c r="K59" s="132"/>
      <c r="L59" s="665">
        <f t="shared" si="0"/>
        <v>0</v>
      </c>
      <c r="M59" s="132"/>
      <c r="N59" s="665">
        <f t="shared" si="1"/>
        <v>0</v>
      </c>
      <c r="O59" s="665">
        <f t="shared" si="2"/>
        <v>0</v>
      </c>
      <c r="P59" s="631"/>
    </row>
    <row r="60" spans="2:16">
      <c r="B60" s="9" t="str">
        <f t="shared" si="9"/>
        <v/>
      </c>
      <c r="C60" s="658">
        <f>IF(D11="","-",+C59+1)</f>
        <v>2065</v>
      </c>
      <c r="D60" s="660">
        <f>IF(F59+SUM(E$17:E59)=D$10,F59,D$10-SUM(E$17:E59))</f>
        <v>0</v>
      </c>
      <c r="E60" s="482">
        <f t="shared" si="4"/>
        <v>0</v>
      </c>
      <c r="F60" s="660">
        <f t="shared" si="5"/>
        <v>0</v>
      </c>
      <c r="G60" s="695">
        <f t="shared" si="6"/>
        <v>0</v>
      </c>
      <c r="H60" s="657">
        <f t="shared" si="7"/>
        <v>0</v>
      </c>
      <c r="I60" s="662">
        <f t="shared" si="8"/>
        <v>0</v>
      </c>
      <c r="J60" s="662"/>
      <c r="K60" s="132"/>
      <c r="L60" s="665">
        <f t="shared" si="0"/>
        <v>0</v>
      </c>
      <c r="M60" s="132"/>
      <c r="N60" s="665">
        <f t="shared" si="1"/>
        <v>0</v>
      </c>
      <c r="O60" s="665">
        <f t="shared" si="2"/>
        <v>0</v>
      </c>
      <c r="P60" s="631"/>
    </row>
    <row r="61" spans="2:16">
      <c r="B61" s="9" t="str">
        <f t="shared" si="9"/>
        <v/>
      </c>
      <c r="C61" s="658">
        <f>IF(D11="","-",+C60+1)</f>
        <v>2066</v>
      </c>
      <c r="D61" s="660">
        <f>IF(F60+SUM(E$17:E60)=D$10,F60,D$10-SUM(E$17:E60))</f>
        <v>0</v>
      </c>
      <c r="E61" s="482">
        <f t="shared" si="4"/>
        <v>0</v>
      </c>
      <c r="F61" s="660">
        <f t="shared" si="5"/>
        <v>0</v>
      </c>
      <c r="G61" s="695">
        <f t="shared" si="6"/>
        <v>0</v>
      </c>
      <c r="H61" s="657">
        <f t="shared" si="7"/>
        <v>0</v>
      </c>
      <c r="I61" s="662">
        <f t="shared" si="8"/>
        <v>0</v>
      </c>
      <c r="J61" s="662"/>
      <c r="K61" s="132"/>
      <c r="L61" s="665">
        <f t="shared" si="0"/>
        <v>0</v>
      </c>
      <c r="M61" s="132"/>
      <c r="N61" s="665">
        <f t="shared" si="1"/>
        <v>0</v>
      </c>
      <c r="O61" s="665">
        <f t="shared" si="2"/>
        <v>0</v>
      </c>
      <c r="P61" s="631"/>
    </row>
    <row r="62" spans="2:16">
      <c r="B62" s="9" t="str">
        <f t="shared" si="9"/>
        <v/>
      </c>
      <c r="C62" s="658">
        <f>IF(D11="","-",+C61+1)</f>
        <v>2067</v>
      </c>
      <c r="D62" s="660">
        <f>IF(F61+SUM(E$17:E61)=D$10,F61,D$10-SUM(E$17:E61))</f>
        <v>0</v>
      </c>
      <c r="E62" s="482">
        <f t="shared" si="4"/>
        <v>0</v>
      </c>
      <c r="F62" s="660">
        <f t="shared" si="5"/>
        <v>0</v>
      </c>
      <c r="G62" s="695">
        <f t="shared" si="6"/>
        <v>0</v>
      </c>
      <c r="H62" s="657">
        <f t="shared" si="7"/>
        <v>0</v>
      </c>
      <c r="I62" s="662">
        <f t="shared" si="8"/>
        <v>0</v>
      </c>
      <c r="J62" s="662"/>
      <c r="K62" s="132"/>
      <c r="L62" s="665">
        <f t="shared" si="0"/>
        <v>0</v>
      </c>
      <c r="M62" s="132"/>
      <c r="N62" s="665">
        <f t="shared" si="1"/>
        <v>0</v>
      </c>
      <c r="O62" s="665">
        <f t="shared" si="2"/>
        <v>0</v>
      </c>
      <c r="P62" s="631"/>
    </row>
    <row r="63" spans="2:16">
      <c r="B63" s="9" t="str">
        <f t="shared" si="9"/>
        <v/>
      </c>
      <c r="C63" s="658">
        <f>IF(D11="","-",+C62+1)</f>
        <v>2068</v>
      </c>
      <c r="D63" s="660">
        <f>IF(F62+SUM(E$17:E62)=D$10,F62,D$10-SUM(E$17:E62))</f>
        <v>0</v>
      </c>
      <c r="E63" s="482">
        <f t="shared" si="4"/>
        <v>0</v>
      </c>
      <c r="F63" s="660">
        <f t="shared" si="5"/>
        <v>0</v>
      </c>
      <c r="G63" s="695">
        <f t="shared" si="6"/>
        <v>0</v>
      </c>
      <c r="H63" s="657">
        <f t="shared" si="7"/>
        <v>0</v>
      </c>
      <c r="I63" s="662">
        <f t="shared" si="8"/>
        <v>0</v>
      </c>
      <c r="J63" s="662"/>
      <c r="K63" s="132"/>
      <c r="L63" s="665">
        <f t="shared" si="0"/>
        <v>0</v>
      </c>
      <c r="M63" s="132"/>
      <c r="N63" s="665">
        <f t="shared" si="1"/>
        <v>0</v>
      </c>
      <c r="O63" s="665">
        <f t="shared" si="2"/>
        <v>0</v>
      </c>
      <c r="P63" s="631"/>
    </row>
    <row r="64" spans="2:16">
      <c r="B64" s="9" t="str">
        <f t="shared" si="9"/>
        <v/>
      </c>
      <c r="C64" s="658">
        <f>IF(D11="","-",+C63+1)</f>
        <v>2069</v>
      </c>
      <c r="D64" s="660">
        <f>IF(F63+SUM(E$17:E63)=D$10,F63,D$10-SUM(E$17:E63))</f>
        <v>0</v>
      </c>
      <c r="E64" s="482">
        <f t="shared" si="4"/>
        <v>0</v>
      </c>
      <c r="F64" s="660">
        <f t="shared" si="5"/>
        <v>0</v>
      </c>
      <c r="G64" s="695">
        <f t="shared" si="6"/>
        <v>0</v>
      </c>
      <c r="H64" s="657">
        <f t="shared" si="7"/>
        <v>0</v>
      </c>
      <c r="I64" s="662">
        <f t="shared" si="8"/>
        <v>0</v>
      </c>
      <c r="J64" s="662"/>
      <c r="K64" s="132"/>
      <c r="L64" s="665">
        <f t="shared" si="0"/>
        <v>0</v>
      </c>
      <c r="M64" s="132"/>
      <c r="N64" s="665">
        <f t="shared" si="1"/>
        <v>0</v>
      </c>
      <c r="O64" s="665">
        <f t="shared" si="2"/>
        <v>0</v>
      </c>
      <c r="P64" s="631"/>
    </row>
    <row r="65" spans="2:16">
      <c r="B65" s="9" t="str">
        <f t="shared" si="9"/>
        <v/>
      </c>
      <c r="C65" s="658">
        <f>IF(D11="","-",+C64+1)</f>
        <v>2070</v>
      </c>
      <c r="D65" s="660">
        <f>IF(F64+SUM(E$17:E64)=D$10,F64,D$10-SUM(E$17:E64))</f>
        <v>0</v>
      </c>
      <c r="E65" s="482">
        <f t="shared" si="4"/>
        <v>0</v>
      </c>
      <c r="F65" s="660">
        <f t="shared" si="5"/>
        <v>0</v>
      </c>
      <c r="G65" s="695">
        <f t="shared" si="6"/>
        <v>0</v>
      </c>
      <c r="H65" s="657">
        <f t="shared" si="7"/>
        <v>0</v>
      </c>
      <c r="I65" s="662">
        <f t="shared" si="8"/>
        <v>0</v>
      </c>
      <c r="J65" s="662"/>
      <c r="K65" s="132"/>
      <c r="L65" s="665">
        <f t="shared" si="0"/>
        <v>0</v>
      </c>
      <c r="M65" s="132"/>
      <c r="N65" s="665">
        <f t="shared" si="1"/>
        <v>0</v>
      </c>
      <c r="O65" s="665">
        <f t="shared" si="2"/>
        <v>0</v>
      </c>
      <c r="P65" s="631"/>
    </row>
    <row r="66" spans="2:16">
      <c r="B66" s="9" t="str">
        <f t="shared" si="9"/>
        <v/>
      </c>
      <c r="C66" s="658">
        <f>IF(D11="","-",+C65+1)</f>
        <v>2071</v>
      </c>
      <c r="D66" s="660">
        <f>IF(F65+SUM(E$17:E65)=D$10,F65,D$10-SUM(E$17:E65))</f>
        <v>0</v>
      </c>
      <c r="E66" s="482">
        <f t="shared" si="4"/>
        <v>0</v>
      </c>
      <c r="F66" s="660">
        <f t="shared" si="5"/>
        <v>0</v>
      </c>
      <c r="G66" s="695">
        <f t="shared" si="6"/>
        <v>0</v>
      </c>
      <c r="H66" s="657">
        <f t="shared" si="7"/>
        <v>0</v>
      </c>
      <c r="I66" s="662">
        <f t="shared" si="8"/>
        <v>0</v>
      </c>
      <c r="J66" s="662"/>
      <c r="K66" s="132"/>
      <c r="L66" s="665">
        <f t="shared" si="0"/>
        <v>0</v>
      </c>
      <c r="M66" s="132"/>
      <c r="N66" s="665">
        <f t="shared" si="1"/>
        <v>0</v>
      </c>
      <c r="O66" s="665">
        <f t="shared" si="2"/>
        <v>0</v>
      </c>
      <c r="P66" s="631"/>
    </row>
    <row r="67" spans="2:16">
      <c r="B67" s="9" t="str">
        <f t="shared" si="9"/>
        <v/>
      </c>
      <c r="C67" s="658">
        <f>IF(D11="","-",+C66+1)</f>
        <v>2072</v>
      </c>
      <c r="D67" s="660">
        <f>IF(F66+SUM(E$17:E66)=D$10,F66,D$10-SUM(E$17:E66))</f>
        <v>0</v>
      </c>
      <c r="E67" s="482">
        <f t="shared" si="4"/>
        <v>0</v>
      </c>
      <c r="F67" s="660">
        <f t="shared" si="5"/>
        <v>0</v>
      </c>
      <c r="G67" s="695">
        <f t="shared" si="6"/>
        <v>0</v>
      </c>
      <c r="H67" s="657">
        <f t="shared" si="7"/>
        <v>0</v>
      </c>
      <c r="I67" s="662">
        <f t="shared" si="8"/>
        <v>0</v>
      </c>
      <c r="J67" s="662"/>
      <c r="K67" s="132"/>
      <c r="L67" s="665">
        <f t="shared" si="0"/>
        <v>0</v>
      </c>
      <c r="M67" s="132"/>
      <c r="N67" s="665">
        <f t="shared" si="1"/>
        <v>0</v>
      </c>
      <c r="O67" s="665">
        <f t="shared" si="2"/>
        <v>0</v>
      </c>
      <c r="P67" s="631"/>
    </row>
    <row r="68" spans="2:16">
      <c r="B68" s="9" t="str">
        <f t="shared" si="9"/>
        <v/>
      </c>
      <c r="C68" s="658">
        <f>IF(D11="","-",+C67+1)</f>
        <v>2073</v>
      </c>
      <c r="D68" s="660">
        <f>IF(F67+SUM(E$17:E67)=D$10,F67,D$10-SUM(E$17:E67))</f>
        <v>0</v>
      </c>
      <c r="E68" s="482">
        <f t="shared" si="4"/>
        <v>0</v>
      </c>
      <c r="F68" s="660">
        <f t="shared" si="5"/>
        <v>0</v>
      </c>
      <c r="G68" s="695">
        <f t="shared" si="6"/>
        <v>0</v>
      </c>
      <c r="H68" s="657">
        <f t="shared" si="7"/>
        <v>0</v>
      </c>
      <c r="I68" s="662">
        <f t="shared" si="8"/>
        <v>0</v>
      </c>
      <c r="J68" s="662"/>
      <c r="K68" s="132"/>
      <c r="L68" s="665">
        <f t="shared" si="0"/>
        <v>0</v>
      </c>
      <c r="M68" s="132"/>
      <c r="N68" s="665">
        <f t="shared" si="1"/>
        <v>0</v>
      </c>
      <c r="O68" s="665">
        <f t="shared" si="2"/>
        <v>0</v>
      </c>
      <c r="P68" s="631"/>
    </row>
    <row r="69" spans="2:16">
      <c r="B69" s="9" t="str">
        <f t="shared" si="9"/>
        <v/>
      </c>
      <c r="C69" s="658">
        <f>IF(D11="","-",+C68+1)</f>
        <v>2074</v>
      </c>
      <c r="D69" s="660">
        <f>IF(F68+SUM(E$17:E68)=D$10,F68,D$10-SUM(E$17:E68))</f>
        <v>0</v>
      </c>
      <c r="E69" s="482">
        <f t="shared" si="4"/>
        <v>0</v>
      </c>
      <c r="F69" s="660">
        <f t="shared" si="5"/>
        <v>0</v>
      </c>
      <c r="G69" s="695">
        <f t="shared" si="6"/>
        <v>0</v>
      </c>
      <c r="H69" s="657">
        <f t="shared" si="7"/>
        <v>0</v>
      </c>
      <c r="I69" s="662">
        <f t="shared" si="8"/>
        <v>0</v>
      </c>
      <c r="J69" s="662"/>
      <c r="K69" s="132"/>
      <c r="L69" s="665">
        <f t="shared" si="0"/>
        <v>0</v>
      </c>
      <c r="M69" s="132"/>
      <c r="N69" s="665">
        <f t="shared" si="1"/>
        <v>0</v>
      </c>
      <c r="O69" s="665">
        <f t="shared" si="2"/>
        <v>0</v>
      </c>
      <c r="P69" s="631"/>
    </row>
    <row r="70" spans="2:16">
      <c r="B70" s="9" t="str">
        <f t="shared" si="9"/>
        <v/>
      </c>
      <c r="C70" s="658">
        <f>IF(D11="","-",+C69+1)</f>
        <v>2075</v>
      </c>
      <c r="D70" s="660">
        <f>IF(F69+SUM(E$17:E69)=D$10,F69,D$10-SUM(E$17:E69))</f>
        <v>0</v>
      </c>
      <c r="E70" s="482">
        <f t="shared" si="4"/>
        <v>0</v>
      </c>
      <c r="F70" s="660">
        <f t="shared" si="5"/>
        <v>0</v>
      </c>
      <c r="G70" s="695">
        <f t="shared" si="6"/>
        <v>0</v>
      </c>
      <c r="H70" s="657">
        <f t="shared" si="7"/>
        <v>0</v>
      </c>
      <c r="I70" s="662">
        <f t="shared" si="8"/>
        <v>0</v>
      </c>
      <c r="J70" s="662"/>
      <c r="K70" s="132"/>
      <c r="L70" s="665">
        <f t="shared" si="0"/>
        <v>0</v>
      </c>
      <c r="M70" s="132"/>
      <c r="N70" s="665">
        <f t="shared" si="1"/>
        <v>0</v>
      </c>
      <c r="O70" s="665">
        <f t="shared" si="2"/>
        <v>0</v>
      </c>
      <c r="P70" s="631"/>
    </row>
    <row r="71" spans="2:16">
      <c r="B71" s="9" t="str">
        <f t="shared" si="9"/>
        <v/>
      </c>
      <c r="C71" s="658">
        <f>IF(D11="","-",+C70+1)</f>
        <v>2076</v>
      </c>
      <c r="D71" s="660">
        <f>IF(F70+SUM(E$17:E70)=D$10,F70,D$10-SUM(E$17:E70))</f>
        <v>0</v>
      </c>
      <c r="E71" s="482">
        <f t="shared" si="4"/>
        <v>0</v>
      </c>
      <c r="F71" s="660">
        <f t="shared" si="5"/>
        <v>0</v>
      </c>
      <c r="G71" s="695">
        <f t="shared" si="6"/>
        <v>0</v>
      </c>
      <c r="H71" s="657">
        <f t="shared" si="7"/>
        <v>0</v>
      </c>
      <c r="I71" s="662">
        <f t="shared" si="8"/>
        <v>0</v>
      </c>
      <c r="J71" s="662"/>
      <c r="K71" s="132"/>
      <c r="L71" s="665">
        <f t="shared" si="0"/>
        <v>0</v>
      </c>
      <c r="M71" s="132"/>
      <c r="N71" s="665">
        <f t="shared" si="1"/>
        <v>0</v>
      </c>
      <c r="O71" s="665">
        <f t="shared" si="2"/>
        <v>0</v>
      </c>
      <c r="P71" s="631"/>
    </row>
    <row r="72" spans="2:16" ht="13" thickBot="1">
      <c r="B72" s="9" t="str">
        <f t="shared" si="9"/>
        <v/>
      </c>
      <c r="C72" s="667">
        <f>IF(D11="","-",+C71+1)</f>
        <v>2077</v>
      </c>
      <c r="D72" s="668">
        <f>IF(F71+SUM(E$17:E71)=D$10,F71,D$10-SUM(E$17:E71))</f>
        <v>0</v>
      </c>
      <c r="E72" s="489">
        <f>IF(+I$14&lt;F71,I$14,D72)</f>
        <v>0</v>
      </c>
      <c r="F72" s="668">
        <f>+D72-E72</f>
        <v>0</v>
      </c>
      <c r="G72" s="669">
        <f>(D72+F72)/2*I$12+E72</f>
        <v>0</v>
      </c>
      <c r="H72" s="643">
        <f>+(D72+F72)/2*I$13+E72</f>
        <v>0</v>
      </c>
      <c r="I72" s="670">
        <f>H72-G72</f>
        <v>0</v>
      </c>
      <c r="J72" s="662"/>
      <c r="K72" s="133"/>
      <c r="L72" s="671">
        <f t="shared" si="0"/>
        <v>0</v>
      </c>
      <c r="M72" s="133"/>
      <c r="N72" s="671">
        <f t="shared" si="1"/>
        <v>0</v>
      </c>
      <c r="O72" s="671">
        <f t="shared" si="2"/>
        <v>0</v>
      </c>
      <c r="P72" s="631"/>
    </row>
    <row r="73" spans="2:16">
      <c r="C73" s="659" t="s">
        <v>77</v>
      </c>
      <c r="D73" s="638"/>
      <c r="E73" s="638">
        <f>SUM(E17:E72)</f>
        <v>70967.7</v>
      </c>
      <c r="F73" s="638"/>
      <c r="G73" s="638">
        <f>SUM(G17:G72)</f>
        <v>234899.8286816969</v>
      </c>
      <c r="H73" s="638">
        <f>SUM(H17:H72)</f>
        <v>234899.8286816969</v>
      </c>
      <c r="I73" s="638">
        <f>SUM(I17:I72)</f>
        <v>0</v>
      </c>
      <c r="J73" s="638"/>
      <c r="K73" s="638"/>
      <c r="L73" s="638"/>
      <c r="M73" s="638"/>
      <c r="N73" s="638"/>
      <c r="O73" s="631"/>
      <c r="P73" s="631"/>
    </row>
    <row r="74" spans="2:16">
      <c r="D74" s="632"/>
      <c r="E74" s="631"/>
      <c r="F74" s="631"/>
      <c r="G74" s="631"/>
      <c r="H74" s="634"/>
      <c r="I74" s="634"/>
      <c r="J74" s="638"/>
      <c r="K74" s="634"/>
      <c r="L74" s="634"/>
      <c r="M74" s="634"/>
      <c r="N74" s="634"/>
      <c r="O74" s="631"/>
      <c r="P74" s="631"/>
    </row>
    <row r="75" spans="2:16" ht="13">
      <c r="C75" s="644" t="s">
        <v>106</v>
      </c>
      <c r="D75" s="632"/>
      <c r="E75" s="631"/>
      <c r="F75" s="631"/>
      <c r="G75" s="631"/>
      <c r="H75" s="634"/>
      <c r="I75" s="634"/>
      <c r="J75" s="638"/>
      <c r="K75" s="634"/>
      <c r="L75" s="634"/>
      <c r="M75" s="634"/>
      <c r="N75" s="634"/>
      <c r="O75" s="631"/>
      <c r="P75" s="631"/>
    </row>
    <row r="76" spans="2:16" ht="13">
      <c r="C76" s="641" t="s">
        <v>78</v>
      </c>
      <c r="D76" s="632"/>
      <c r="E76" s="631"/>
      <c r="F76" s="631"/>
      <c r="G76" s="631"/>
      <c r="H76" s="634"/>
      <c r="I76" s="634"/>
      <c r="J76" s="638"/>
      <c r="K76" s="634"/>
      <c r="L76" s="634"/>
      <c r="M76" s="634"/>
      <c r="N76" s="634"/>
      <c r="O76" s="631"/>
      <c r="P76" s="631"/>
    </row>
    <row r="77" spans="2:16" ht="13">
      <c r="C77" s="641" t="s">
        <v>79</v>
      </c>
      <c r="D77" s="659"/>
      <c r="E77" s="659"/>
      <c r="F77" s="659"/>
      <c r="G77" s="638"/>
      <c r="H77" s="638"/>
      <c r="I77" s="672"/>
      <c r="J77" s="672"/>
      <c r="K77" s="672"/>
      <c r="L77" s="672"/>
      <c r="M77" s="672"/>
      <c r="N77" s="672"/>
      <c r="O77" s="631"/>
      <c r="P77" s="631"/>
    </row>
    <row r="78" spans="2:16" ht="13">
      <c r="C78" s="641"/>
      <c r="D78" s="659"/>
      <c r="E78" s="659"/>
      <c r="F78" s="659"/>
      <c r="G78" s="638"/>
      <c r="H78" s="638"/>
      <c r="I78" s="672"/>
      <c r="J78" s="672"/>
      <c r="K78" s="672"/>
      <c r="L78" s="672"/>
      <c r="M78" s="672"/>
      <c r="N78" s="672"/>
      <c r="O78" s="631"/>
      <c r="P78" s="631"/>
    </row>
    <row r="79" spans="2:16">
      <c r="B79" s="631"/>
      <c r="C79" s="631"/>
      <c r="D79" s="632"/>
      <c r="E79" s="631"/>
      <c r="F79" s="659"/>
      <c r="G79" s="631"/>
      <c r="H79" s="634"/>
      <c r="I79" s="631"/>
      <c r="J79" s="631"/>
      <c r="K79" s="631"/>
      <c r="L79" s="631"/>
      <c r="M79" s="631"/>
      <c r="N79" s="631"/>
      <c r="O79" s="631"/>
      <c r="P79" s="631"/>
    </row>
    <row r="80" spans="2:16" ht="17.5">
      <c r="B80" s="631"/>
      <c r="C80" s="673"/>
      <c r="D80" s="632"/>
      <c r="E80" s="631"/>
      <c r="F80" s="659"/>
      <c r="G80" s="631"/>
      <c r="H80" s="634"/>
      <c r="I80" s="631"/>
      <c r="J80" s="631"/>
      <c r="K80" s="631"/>
      <c r="L80" s="631"/>
      <c r="M80" s="631"/>
      <c r="N80" s="631"/>
      <c r="P80" s="111" t="s">
        <v>144</v>
      </c>
    </row>
    <row r="81" spans="1:16">
      <c r="B81" s="631"/>
      <c r="C81" s="631"/>
      <c r="D81" s="632"/>
      <c r="E81" s="631"/>
      <c r="F81" s="659"/>
      <c r="G81" s="631"/>
      <c r="H81" s="634"/>
      <c r="I81" s="631"/>
      <c r="J81" s="631"/>
      <c r="K81" s="631"/>
      <c r="L81" s="631"/>
      <c r="M81" s="631"/>
      <c r="N81" s="631"/>
      <c r="O81" s="631"/>
      <c r="P81" s="631"/>
    </row>
    <row r="82" spans="1:16">
      <c r="B82" s="631"/>
      <c r="C82" s="631"/>
      <c r="D82" s="632"/>
      <c r="E82" s="631"/>
      <c r="F82" s="659"/>
      <c r="G82" s="631"/>
      <c r="H82" s="634"/>
      <c r="I82" s="631"/>
      <c r="J82" s="631"/>
      <c r="K82" s="631"/>
      <c r="L82" s="631"/>
      <c r="M82" s="631"/>
      <c r="N82" s="631"/>
      <c r="O82" s="631"/>
      <c r="P82" s="631"/>
    </row>
    <row r="83" spans="1:16" ht="20">
      <c r="A83" s="110" t="s">
        <v>146</v>
      </c>
      <c r="B83" s="631"/>
      <c r="C83" s="631"/>
      <c r="D83" s="632"/>
      <c r="E83" s="631"/>
      <c r="F83" s="633"/>
      <c r="G83" s="633"/>
      <c r="H83" s="631"/>
      <c r="I83" s="634"/>
      <c r="L83" s="19"/>
      <c r="M83" s="19"/>
      <c r="P83" s="19" t="str">
        <f>P1</f>
        <v>PSO Project 31 of 31</v>
      </c>
    </row>
    <row r="84" spans="1:16" ht="17.5">
      <c r="B84" s="631"/>
      <c r="C84" s="631"/>
      <c r="D84" s="632"/>
      <c r="E84" s="631"/>
      <c r="F84" s="631"/>
      <c r="G84" s="631"/>
      <c r="H84" s="631"/>
      <c r="I84" s="634"/>
      <c r="J84" s="631"/>
      <c r="K84" s="631"/>
      <c r="L84" s="631"/>
      <c r="M84" s="631"/>
      <c r="P84" s="117" t="s">
        <v>151</v>
      </c>
    </row>
    <row r="85" spans="1:16" ht="17.5" thickBot="1">
      <c r="B85" s="636" t="s">
        <v>42</v>
      </c>
      <c r="C85" s="674" t="s">
        <v>91</v>
      </c>
      <c r="D85" s="632"/>
      <c r="E85" s="631"/>
      <c r="F85" s="631"/>
      <c r="G85" s="631"/>
      <c r="H85" s="631"/>
      <c r="I85" s="634"/>
      <c r="J85" s="634"/>
      <c r="K85" s="638"/>
      <c r="L85" s="634"/>
      <c r="M85" s="634"/>
      <c r="N85" s="634"/>
      <c r="O85" s="638"/>
      <c r="P85" s="631"/>
    </row>
    <row r="86" spans="1:16" ht="16" thickBot="1">
      <c r="C86" s="639"/>
      <c r="D86" s="632"/>
      <c r="E86" s="631"/>
      <c r="F86" s="631"/>
      <c r="G86" s="631"/>
      <c r="H86" s="631"/>
      <c r="I86" s="634"/>
      <c r="J86" s="634"/>
      <c r="K86" s="638"/>
      <c r="L86" s="675">
        <f>+J92</f>
        <v>2023</v>
      </c>
      <c r="M86" s="676" t="s">
        <v>8</v>
      </c>
      <c r="N86" s="677" t="s">
        <v>153</v>
      </c>
      <c r="O86" s="678" t="s">
        <v>10</v>
      </c>
      <c r="P86" s="631"/>
    </row>
    <row r="87" spans="1:16" ht="15.5">
      <c r="C87" s="107" t="s">
        <v>44</v>
      </c>
      <c r="D87" s="632"/>
      <c r="E87" s="631"/>
      <c r="F87" s="631"/>
      <c r="G87" s="631"/>
      <c r="H87" s="419"/>
      <c r="I87" s="631" t="s">
        <v>45</v>
      </c>
      <c r="J87" s="631"/>
      <c r="K87" s="122"/>
      <c r="L87" s="679" t="s">
        <v>154</v>
      </c>
      <c r="M87" s="506">
        <f>IF(J92&lt;D11,0,VLOOKUP(J92,C17:O72,9))</f>
        <v>10181.795067763751</v>
      </c>
      <c r="N87" s="506">
        <f>IF(J92&lt;D11,0,VLOOKUP(J92,C17:O72,11))</f>
        <v>10181.795067763751</v>
      </c>
      <c r="O87" s="680">
        <f>+N87-M87</f>
        <v>0</v>
      </c>
      <c r="P87" s="631"/>
    </row>
    <row r="88" spans="1:16" ht="15.5">
      <c r="C88" s="8"/>
      <c r="D88" s="632"/>
      <c r="E88" s="631"/>
      <c r="F88" s="631"/>
      <c r="G88" s="631"/>
      <c r="H88" s="631"/>
      <c r="I88" s="424"/>
      <c r="J88" s="424"/>
      <c r="K88" s="508"/>
      <c r="L88" s="681" t="s">
        <v>155</v>
      </c>
      <c r="M88" s="510">
        <f>IF(J92&lt;D11,0,VLOOKUP(J92,C99:P154,6))</f>
        <v>9250.0156463681778</v>
      </c>
      <c r="N88" s="510">
        <f>IF(J92&lt;D11,0,VLOOKUP(J92,C99:P154,7))</f>
        <v>9250.0156463681778</v>
      </c>
      <c r="O88" s="682">
        <f>+N88-M88</f>
        <v>0</v>
      </c>
      <c r="P88" s="631"/>
    </row>
    <row r="89" spans="1:16" ht="13.5" thickBot="1">
      <c r="C89" s="641" t="s">
        <v>92</v>
      </c>
      <c r="D89" s="79" t="str">
        <f>D7</f>
        <v>Pryor Junction 138/115 kV</v>
      </c>
      <c r="E89" s="631"/>
      <c r="F89" s="631"/>
      <c r="G89" s="631"/>
      <c r="H89" s="631"/>
      <c r="I89" s="634"/>
      <c r="J89" s="634"/>
      <c r="K89" s="513"/>
      <c r="L89" s="683" t="s">
        <v>156</v>
      </c>
      <c r="M89" s="515">
        <f>+M88-M87</f>
        <v>-931.77942139557308</v>
      </c>
      <c r="N89" s="515">
        <f>+N88-N87</f>
        <v>-931.77942139557308</v>
      </c>
      <c r="O89" s="516">
        <f>+O88-O87</f>
        <v>0</v>
      </c>
      <c r="P89" s="631"/>
    </row>
    <row r="90" spans="1:16" ht="13.5" thickBot="1">
      <c r="C90" s="644"/>
      <c r="E90" s="659"/>
      <c r="F90" s="659"/>
      <c r="G90" s="659"/>
      <c r="H90" s="645"/>
      <c r="I90" s="634"/>
      <c r="J90" s="634"/>
      <c r="K90" s="638"/>
      <c r="L90" s="634"/>
      <c r="M90" s="634"/>
      <c r="N90" s="634"/>
      <c r="O90" s="638"/>
      <c r="P90" s="631"/>
    </row>
    <row r="91" spans="1:16" ht="13.5" thickBot="1">
      <c r="C91" s="684" t="s">
        <v>93</v>
      </c>
      <c r="D91" s="685"/>
      <c r="E91" s="686"/>
      <c r="F91" s="686"/>
      <c r="G91" s="686"/>
      <c r="H91" s="686"/>
      <c r="I91" s="686"/>
      <c r="J91" s="686"/>
    </row>
    <row r="92" spans="1:16" ht="13">
      <c r="C92" s="651" t="s">
        <v>226</v>
      </c>
      <c r="D92" s="687">
        <f>D10</f>
        <v>70967.7</v>
      </c>
      <c r="E92" s="631" t="s">
        <v>94</v>
      </c>
      <c r="H92" s="632"/>
      <c r="I92" s="632"/>
      <c r="J92" s="447">
        <f>+'PSO.WS.G.BPU.ATRR.True-up'!M16</f>
        <v>2023</v>
      </c>
      <c r="K92" s="650"/>
      <c r="L92" s="638" t="s">
        <v>95</v>
      </c>
      <c r="P92" s="631"/>
    </row>
    <row r="93" spans="1:16">
      <c r="C93" s="653" t="s">
        <v>53</v>
      </c>
      <c r="D93" s="688">
        <f>+D11</f>
        <v>2022</v>
      </c>
      <c r="E93" s="653" t="s">
        <v>54</v>
      </c>
      <c r="F93" s="632"/>
      <c r="G93" s="632"/>
      <c r="J93" s="654">
        <v>0</v>
      </c>
      <c r="K93" s="655"/>
      <c r="L93" t="str">
        <f>"          INPUT TRUE-UP ARR (WITH &amp; WITHOUT INCENTIVES) FROM EACH PRIOR YEAR"</f>
        <v xml:space="preserve">          INPUT TRUE-UP ARR (WITH &amp; WITHOUT INCENTIVES) FROM EACH PRIOR YEAR</v>
      </c>
      <c r="P93" s="631"/>
    </row>
    <row r="94" spans="1:16">
      <c r="C94" s="653" t="s">
        <v>55</v>
      </c>
      <c r="D94" s="688">
        <f>+D12</f>
        <v>6</v>
      </c>
      <c r="E94" s="653" t="s">
        <v>56</v>
      </c>
      <c r="F94" s="632"/>
      <c r="G94" s="632"/>
      <c r="J94" s="656">
        <v>0.10781124580725182</v>
      </c>
      <c r="K94" s="633"/>
      <c r="L94" t="s">
        <v>96</v>
      </c>
      <c r="P94" s="631"/>
    </row>
    <row r="95" spans="1:16">
      <c r="C95" s="653" t="s">
        <v>58</v>
      </c>
      <c r="D95" s="654">
        <v>42</v>
      </c>
      <c r="E95" s="653" t="s">
        <v>59</v>
      </c>
      <c r="F95" s="632"/>
      <c r="G95" s="632"/>
      <c r="J95" s="656">
        <v>0.10781124580725182</v>
      </c>
      <c r="K95" s="633"/>
      <c r="L95" s="638" t="s">
        <v>60</v>
      </c>
      <c r="M95" s="633"/>
      <c r="N95" s="633"/>
      <c r="O95" s="633"/>
      <c r="P95" s="631"/>
    </row>
    <row r="96" spans="1:16" ht="13" thickBot="1">
      <c r="C96" s="653" t="s">
        <v>61</v>
      </c>
      <c r="D96" s="689" t="str">
        <f>+D14</f>
        <v>No</v>
      </c>
      <c r="E96" s="690" t="s">
        <v>63</v>
      </c>
      <c r="F96" s="691"/>
      <c r="G96" s="691"/>
      <c r="H96" s="92"/>
      <c r="I96" s="92"/>
      <c r="J96" s="643">
        <f>IF(D92=0,0,ROUND(D92/D95,0))</f>
        <v>1690</v>
      </c>
      <c r="K96" s="638"/>
      <c r="L96" s="638"/>
      <c r="M96" s="638"/>
      <c r="N96" s="638"/>
      <c r="O96" s="638"/>
      <c r="P96" s="631"/>
    </row>
    <row r="97" spans="1:16" ht="39">
      <c r="A97" s="6"/>
      <c r="B97" s="6"/>
      <c r="C97" s="93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93" t="s">
        <v>98</v>
      </c>
      <c r="K97" s="95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534" t="s">
        <v>73</v>
      </c>
      <c r="I98" s="464" t="s">
        <v>74</v>
      </c>
      <c r="J98" s="57" t="s">
        <v>104</v>
      </c>
      <c r="K98" s="55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3" thickBot="1">
      <c r="C99" s="658">
        <f>IF(D93= "","-",D93)</f>
        <v>2022</v>
      </c>
      <c r="D99" s="132">
        <v>0</v>
      </c>
      <c r="E99" s="132">
        <v>0</v>
      </c>
      <c r="F99" s="132">
        <v>70968</v>
      </c>
      <c r="G99" s="132">
        <v>35484</v>
      </c>
      <c r="H99" s="132">
        <v>3825.5742462245234</v>
      </c>
      <c r="I99" s="132">
        <v>3825.5742462245234</v>
      </c>
      <c r="J99" s="665">
        <f>+I99-H99</f>
        <v>0</v>
      </c>
      <c r="K99" s="665"/>
      <c r="L99" s="664">
        <f>+H99</f>
        <v>3825.5742462245234</v>
      </c>
      <c r="M99" s="664">
        <f t="shared" ref="M99:M130" si="10">IF(L99&lt;&gt;0,+H99-L99,0)</f>
        <v>0</v>
      </c>
      <c r="N99" s="664">
        <f>+I99</f>
        <v>3825.5742462245234</v>
      </c>
      <c r="O99" s="664">
        <f t="shared" ref="O99:O130" si="11">IF(N99&lt;&gt;0,+I99-N99,0)</f>
        <v>0</v>
      </c>
      <c r="P99" s="664">
        <f t="shared" ref="P99:P130" si="12">+O99-M99</f>
        <v>0</v>
      </c>
    </row>
    <row r="100" spans="1:16">
      <c r="B100" s="9" t="str">
        <f>IF(D100=F99,"","IU")</f>
        <v>IU</v>
      </c>
      <c r="C100" s="658">
        <f>IF(D93="","-",+C99+1)</f>
        <v>2023</v>
      </c>
      <c r="D100" s="659">
        <f>IF(F99+SUM(E$99:E99)=D$92,F99,D$92-SUM(E$99:E99))</f>
        <v>70967.7</v>
      </c>
      <c r="E100" s="69">
        <f>IF(+J$96&lt;F99,J$96,D100)</f>
        <v>1690</v>
      </c>
      <c r="F100" s="660">
        <f>+D100-E100</f>
        <v>69277.7</v>
      </c>
      <c r="G100" s="660">
        <f>+(F100+D100)/2</f>
        <v>70122.7</v>
      </c>
      <c r="H100" s="130">
        <f t="shared" ref="H100:H154" si="13">+J$94*G100+E100</f>
        <v>9250.0156463681778</v>
      </c>
      <c r="I100" s="139">
        <f t="shared" ref="I100:I154" si="14">+J$95*G100+E100</f>
        <v>9250.0156463681778</v>
      </c>
      <c r="J100" s="665">
        <f t="shared" ref="J100:J130" si="15">+I100-H100</f>
        <v>0</v>
      </c>
      <c r="K100" s="665"/>
      <c r="L100" s="664">
        <f>+H100</f>
        <v>9250.0156463681778</v>
      </c>
      <c r="M100" s="664">
        <f t="shared" ref="M100" si="16">IF(L100&lt;&gt;0,+H100-L100,0)</f>
        <v>0</v>
      </c>
      <c r="N100" s="664">
        <f>+I100</f>
        <v>9250.0156463681778</v>
      </c>
      <c r="O100" s="664">
        <f t="shared" ref="O100" si="17">IF(N100&lt;&gt;0,+I100-N100,0)</f>
        <v>0</v>
      </c>
      <c r="P100" s="664">
        <f t="shared" ref="P100" si="18">+O100-M100</f>
        <v>0</v>
      </c>
    </row>
    <row r="101" spans="1:16">
      <c r="B101" s="9" t="str">
        <f t="shared" ref="B101:B154" si="19">IF(D101=F100,"","IU")</f>
        <v/>
      </c>
      <c r="C101" s="658">
        <f>IF(D93="","-",+C100+1)</f>
        <v>2024</v>
      </c>
      <c r="D101" s="659">
        <f>IF(F100+SUM(E$99:E100)=D$92,F100,D$92-SUM(E$99:E100))</f>
        <v>69277.7</v>
      </c>
      <c r="E101" s="69">
        <f t="shared" ref="E101:E154" si="20">IF(+J$96&lt;F100,J$96,D101)</f>
        <v>1690</v>
      </c>
      <c r="F101" s="660">
        <f t="shared" ref="F101:F154" si="21">+D101-E101</f>
        <v>67587.7</v>
      </c>
      <c r="G101" s="660">
        <f t="shared" ref="G101:G154" si="22">+(F101+D101)/2</f>
        <v>68432.7</v>
      </c>
      <c r="H101" s="130">
        <f t="shared" si="13"/>
        <v>9067.8146409539222</v>
      </c>
      <c r="I101" s="139">
        <f t="shared" si="14"/>
        <v>9067.8146409539222</v>
      </c>
      <c r="J101" s="665">
        <f t="shared" si="15"/>
        <v>0</v>
      </c>
      <c r="K101" s="665"/>
      <c r="L101" s="132"/>
      <c r="M101" s="665">
        <f t="shared" si="10"/>
        <v>0</v>
      </c>
      <c r="N101" s="132"/>
      <c r="O101" s="665">
        <f t="shared" si="11"/>
        <v>0</v>
      </c>
      <c r="P101" s="665">
        <f t="shared" si="12"/>
        <v>0</v>
      </c>
    </row>
    <row r="102" spans="1:16">
      <c r="B102" s="9" t="str">
        <f t="shared" si="19"/>
        <v/>
      </c>
      <c r="C102" s="658">
        <f>IF(D93="","-",+C101+1)</f>
        <v>2025</v>
      </c>
      <c r="D102" s="659">
        <f>IF(F101+SUM(E$99:E101)=D$92,F101,D$92-SUM(E$99:E101))</f>
        <v>67587.7</v>
      </c>
      <c r="E102" s="69">
        <f t="shared" si="20"/>
        <v>1690</v>
      </c>
      <c r="F102" s="660">
        <f t="shared" si="21"/>
        <v>65897.7</v>
      </c>
      <c r="G102" s="660">
        <f t="shared" si="22"/>
        <v>66742.7</v>
      </c>
      <c r="H102" s="130">
        <f t="shared" si="13"/>
        <v>8885.6136355396666</v>
      </c>
      <c r="I102" s="139">
        <f t="shared" si="14"/>
        <v>8885.6136355396666</v>
      </c>
      <c r="J102" s="665">
        <f t="shared" si="15"/>
        <v>0</v>
      </c>
      <c r="K102" s="665"/>
      <c r="L102" s="132"/>
      <c r="M102" s="665">
        <f t="shared" si="10"/>
        <v>0</v>
      </c>
      <c r="N102" s="132"/>
      <c r="O102" s="665">
        <f t="shared" si="11"/>
        <v>0</v>
      </c>
      <c r="P102" s="665">
        <f t="shared" si="12"/>
        <v>0</v>
      </c>
    </row>
    <row r="103" spans="1:16">
      <c r="B103" s="9" t="str">
        <f t="shared" si="19"/>
        <v/>
      </c>
      <c r="C103" s="658">
        <f>IF(D93="","-",+C102+1)</f>
        <v>2026</v>
      </c>
      <c r="D103" s="659">
        <f>IF(F102+SUM(E$99:E102)=D$92,F102,D$92-SUM(E$99:E102))</f>
        <v>65897.7</v>
      </c>
      <c r="E103" s="69">
        <f t="shared" si="20"/>
        <v>1690</v>
      </c>
      <c r="F103" s="660">
        <f t="shared" si="21"/>
        <v>64207.7</v>
      </c>
      <c r="G103" s="660">
        <f t="shared" si="22"/>
        <v>65052.7</v>
      </c>
      <c r="H103" s="130">
        <f t="shared" si="13"/>
        <v>8703.4126301254109</v>
      </c>
      <c r="I103" s="139">
        <f t="shared" si="14"/>
        <v>8703.4126301254109</v>
      </c>
      <c r="J103" s="665">
        <f t="shared" si="15"/>
        <v>0</v>
      </c>
      <c r="K103" s="665"/>
      <c r="L103" s="132"/>
      <c r="M103" s="665">
        <f t="shared" si="10"/>
        <v>0</v>
      </c>
      <c r="N103" s="132"/>
      <c r="O103" s="665">
        <f t="shared" si="11"/>
        <v>0</v>
      </c>
      <c r="P103" s="665">
        <f t="shared" si="12"/>
        <v>0</v>
      </c>
    </row>
    <row r="104" spans="1:16">
      <c r="B104" s="9" t="str">
        <f t="shared" si="19"/>
        <v/>
      </c>
      <c r="C104" s="658">
        <f>IF(D93="","-",+C103+1)</f>
        <v>2027</v>
      </c>
      <c r="D104" s="659">
        <f>IF(F103+SUM(E$99:E103)=D$92,F103,D$92-SUM(E$99:E103))</f>
        <v>64207.7</v>
      </c>
      <c r="E104" s="69">
        <f t="shared" si="20"/>
        <v>1690</v>
      </c>
      <c r="F104" s="660">
        <f t="shared" si="21"/>
        <v>62517.7</v>
      </c>
      <c r="G104" s="660">
        <f t="shared" si="22"/>
        <v>63362.7</v>
      </c>
      <c r="H104" s="130">
        <f t="shared" si="13"/>
        <v>8521.2116247111553</v>
      </c>
      <c r="I104" s="139">
        <f t="shared" si="14"/>
        <v>8521.2116247111553</v>
      </c>
      <c r="J104" s="665">
        <f t="shared" si="15"/>
        <v>0</v>
      </c>
      <c r="K104" s="665"/>
      <c r="L104" s="132"/>
      <c r="M104" s="665">
        <f t="shared" si="10"/>
        <v>0</v>
      </c>
      <c r="N104" s="132"/>
      <c r="O104" s="665">
        <f t="shared" si="11"/>
        <v>0</v>
      </c>
      <c r="P104" s="665">
        <f t="shared" si="12"/>
        <v>0</v>
      </c>
    </row>
    <row r="105" spans="1:16">
      <c r="B105" s="9" t="str">
        <f t="shared" si="19"/>
        <v/>
      </c>
      <c r="C105" s="658">
        <f>IF(D93="","-",+C104+1)</f>
        <v>2028</v>
      </c>
      <c r="D105" s="659">
        <f>IF(F104+SUM(E$99:E104)=D$92,F104,D$92-SUM(E$99:E104))</f>
        <v>62517.7</v>
      </c>
      <c r="E105" s="69">
        <f t="shared" si="20"/>
        <v>1690</v>
      </c>
      <c r="F105" s="660">
        <f t="shared" si="21"/>
        <v>60827.7</v>
      </c>
      <c r="G105" s="660">
        <f t="shared" si="22"/>
        <v>61672.7</v>
      </c>
      <c r="H105" s="130">
        <f t="shared" si="13"/>
        <v>8339.0106192968997</v>
      </c>
      <c r="I105" s="139">
        <f t="shared" si="14"/>
        <v>8339.0106192968997</v>
      </c>
      <c r="J105" s="665">
        <f t="shared" si="15"/>
        <v>0</v>
      </c>
      <c r="K105" s="665"/>
      <c r="L105" s="132"/>
      <c r="M105" s="665">
        <f t="shared" si="10"/>
        <v>0</v>
      </c>
      <c r="N105" s="132"/>
      <c r="O105" s="665">
        <f t="shared" si="11"/>
        <v>0</v>
      </c>
      <c r="P105" s="665">
        <f t="shared" si="12"/>
        <v>0</v>
      </c>
    </row>
    <row r="106" spans="1:16">
      <c r="B106" s="9" t="str">
        <f t="shared" si="19"/>
        <v/>
      </c>
      <c r="C106" s="658">
        <f>IF(D93="","-",+C105+1)</f>
        <v>2029</v>
      </c>
      <c r="D106" s="659">
        <f>IF(F105+SUM(E$99:E105)=D$92,F105,D$92-SUM(E$99:E105))</f>
        <v>60827.7</v>
      </c>
      <c r="E106" s="69">
        <f t="shared" si="20"/>
        <v>1690</v>
      </c>
      <c r="F106" s="660">
        <f t="shared" si="21"/>
        <v>59137.7</v>
      </c>
      <c r="G106" s="660">
        <f t="shared" si="22"/>
        <v>59982.7</v>
      </c>
      <c r="H106" s="130">
        <f t="shared" si="13"/>
        <v>8156.8096138826431</v>
      </c>
      <c r="I106" s="139">
        <f t="shared" si="14"/>
        <v>8156.8096138826431</v>
      </c>
      <c r="J106" s="665">
        <f t="shared" si="15"/>
        <v>0</v>
      </c>
      <c r="K106" s="665"/>
      <c r="L106" s="132"/>
      <c r="M106" s="665">
        <f t="shared" si="10"/>
        <v>0</v>
      </c>
      <c r="N106" s="132"/>
      <c r="O106" s="665">
        <f t="shared" si="11"/>
        <v>0</v>
      </c>
      <c r="P106" s="665">
        <f t="shared" si="12"/>
        <v>0</v>
      </c>
    </row>
    <row r="107" spans="1:16">
      <c r="B107" s="9" t="str">
        <f t="shared" si="19"/>
        <v/>
      </c>
      <c r="C107" s="658">
        <f>IF(D93="","-",+C106+1)</f>
        <v>2030</v>
      </c>
      <c r="D107" s="659">
        <f>IF(F106+SUM(E$99:E106)=D$92,F106,D$92-SUM(E$99:E106))</f>
        <v>59137.7</v>
      </c>
      <c r="E107" s="69">
        <f t="shared" si="20"/>
        <v>1690</v>
      </c>
      <c r="F107" s="660">
        <f t="shared" si="21"/>
        <v>57447.7</v>
      </c>
      <c r="G107" s="660">
        <f t="shared" si="22"/>
        <v>58292.7</v>
      </c>
      <c r="H107" s="130">
        <f t="shared" si="13"/>
        <v>7974.6086084683875</v>
      </c>
      <c r="I107" s="139">
        <f t="shared" si="14"/>
        <v>7974.6086084683875</v>
      </c>
      <c r="J107" s="665">
        <f t="shared" si="15"/>
        <v>0</v>
      </c>
      <c r="K107" s="665"/>
      <c r="L107" s="132"/>
      <c r="M107" s="665">
        <f t="shared" si="10"/>
        <v>0</v>
      </c>
      <c r="N107" s="132"/>
      <c r="O107" s="665">
        <f t="shared" si="11"/>
        <v>0</v>
      </c>
      <c r="P107" s="665">
        <f t="shared" si="12"/>
        <v>0</v>
      </c>
    </row>
    <row r="108" spans="1:16">
      <c r="B108" s="9" t="str">
        <f t="shared" si="19"/>
        <v/>
      </c>
      <c r="C108" s="658">
        <f>IF(D93="","-",+C107+1)</f>
        <v>2031</v>
      </c>
      <c r="D108" s="659">
        <f>IF(F107+SUM(E$99:E107)=D$92,F107,D$92-SUM(E$99:E107))</f>
        <v>57447.7</v>
      </c>
      <c r="E108" s="69">
        <f t="shared" si="20"/>
        <v>1690</v>
      </c>
      <c r="F108" s="660">
        <f t="shared" si="21"/>
        <v>55757.7</v>
      </c>
      <c r="G108" s="660">
        <f t="shared" si="22"/>
        <v>56602.7</v>
      </c>
      <c r="H108" s="130">
        <f t="shared" si="13"/>
        <v>7792.4076030541328</v>
      </c>
      <c r="I108" s="139">
        <f t="shared" si="14"/>
        <v>7792.4076030541328</v>
      </c>
      <c r="J108" s="665">
        <f t="shared" si="15"/>
        <v>0</v>
      </c>
      <c r="K108" s="665"/>
      <c r="L108" s="132"/>
      <c r="M108" s="665">
        <f t="shared" si="10"/>
        <v>0</v>
      </c>
      <c r="N108" s="132"/>
      <c r="O108" s="665">
        <f t="shared" si="11"/>
        <v>0</v>
      </c>
      <c r="P108" s="665">
        <f t="shared" si="12"/>
        <v>0</v>
      </c>
    </row>
    <row r="109" spans="1:16">
      <c r="B109" s="9" t="str">
        <f t="shared" si="19"/>
        <v/>
      </c>
      <c r="C109" s="658">
        <f>IF(D93="","-",+C108+1)</f>
        <v>2032</v>
      </c>
      <c r="D109" s="659">
        <f>IF(F108+SUM(E$99:E108)=D$92,F108,D$92-SUM(E$99:E108))</f>
        <v>55757.7</v>
      </c>
      <c r="E109" s="69">
        <f t="shared" si="20"/>
        <v>1690</v>
      </c>
      <c r="F109" s="660">
        <f t="shared" si="21"/>
        <v>54067.7</v>
      </c>
      <c r="G109" s="660">
        <f t="shared" si="22"/>
        <v>54912.7</v>
      </c>
      <c r="H109" s="130">
        <f t="shared" si="13"/>
        <v>7610.2065976398771</v>
      </c>
      <c r="I109" s="139">
        <f t="shared" si="14"/>
        <v>7610.2065976398771</v>
      </c>
      <c r="J109" s="665">
        <f t="shared" si="15"/>
        <v>0</v>
      </c>
      <c r="K109" s="665"/>
      <c r="L109" s="132"/>
      <c r="M109" s="665">
        <f t="shared" si="10"/>
        <v>0</v>
      </c>
      <c r="N109" s="132"/>
      <c r="O109" s="665">
        <f t="shared" si="11"/>
        <v>0</v>
      </c>
      <c r="P109" s="665">
        <f t="shared" si="12"/>
        <v>0</v>
      </c>
    </row>
    <row r="110" spans="1:16">
      <c r="B110" s="9" t="str">
        <f t="shared" si="19"/>
        <v/>
      </c>
      <c r="C110" s="658">
        <f>IF(D93="","-",+C109+1)</f>
        <v>2033</v>
      </c>
      <c r="D110" s="659">
        <f>IF(F109+SUM(E$99:E109)=D$92,F109,D$92-SUM(E$99:E109))</f>
        <v>54067.7</v>
      </c>
      <c r="E110" s="69">
        <f t="shared" si="20"/>
        <v>1690</v>
      </c>
      <c r="F110" s="660">
        <f t="shared" si="21"/>
        <v>52377.7</v>
      </c>
      <c r="G110" s="660">
        <f t="shared" si="22"/>
        <v>53222.7</v>
      </c>
      <c r="H110" s="130">
        <f t="shared" si="13"/>
        <v>7428.0055922256215</v>
      </c>
      <c r="I110" s="139">
        <f t="shared" si="14"/>
        <v>7428.0055922256215</v>
      </c>
      <c r="J110" s="665">
        <f t="shared" si="15"/>
        <v>0</v>
      </c>
      <c r="K110" s="665"/>
      <c r="L110" s="132"/>
      <c r="M110" s="665">
        <f t="shared" si="10"/>
        <v>0</v>
      </c>
      <c r="N110" s="132"/>
      <c r="O110" s="665">
        <f t="shared" si="11"/>
        <v>0</v>
      </c>
      <c r="P110" s="665">
        <f t="shared" si="12"/>
        <v>0</v>
      </c>
    </row>
    <row r="111" spans="1:16">
      <c r="B111" s="9" t="str">
        <f t="shared" si="19"/>
        <v/>
      </c>
      <c r="C111" s="658">
        <f>IF(D93="","-",+C110+1)</f>
        <v>2034</v>
      </c>
      <c r="D111" s="659">
        <f>IF(F110+SUM(E$99:E110)=D$92,F110,D$92-SUM(E$99:E110))</f>
        <v>52377.7</v>
      </c>
      <c r="E111" s="69">
        <f t="shared" si="20"/>
        <v>1690</v>
      </c>
      <c r="F111" s="660">
        <f t="shared" si="21"/>
        <v>50687.7</v>
      </c>
      <c r="G111" s="660">
        <f t="shared" si="22"/>
        <v>51532.7</v>
      </c>
      <c r="H111" s="130">
        <f t="shared" si="13"/>
        <v>7245.8045868113659</v>
      </c>
      <c r="I111" s="139">
        <f t="shared" si="14"/>
        <v>7245.8045868113659</v>
      </c>
      <c r="J111" s="665">
        <f t="shared" si="15"/>
        <v>0</v>
      </c>
      <c r="K111" s="665"/>
      <c r="L111" s="132"/>
      <c r="M111" s="665">
        <f t="shared" si="10"/>
        <v>0</v>
      </c>
      <c r="N111" s="132"/>
      <c r="O111" s="665">
        <f t="shared" si="11"/>
        <v>0</v>
      </c>
      <c r="P111" s="665">
        <f t="shared" si="12"/>
        <v>0</v>
      </c>
    </row>
    <row r="112" spans="1:16">
      <c r="B112" s="9" t="str">
        <f t="shared" si="19"/>
        <v/>
      </c>
      <c r="C112" s="658">
        <f>IF(D93="","-",+C111+1)</f>
        <v>2035</v>
      </c>
      <c r="D112" s="659">
        <f>IF(F111+SUM(E$99:E111)=D$92,F111,D$92-SUM(E$99:E111))</f>
        <v>50687.7</v>
      </c>
      <c r="E112" s="69">
        <f t="shared" si="20"/>
        <v>1690</v>
      </c>
      <c r="F112" s="660">
        <f t="shared" si="21"/>
        <v>48997.7</v>
      </c>
      <c r="G112" s="660">
        <f t="shared" si="22"/>
        <v>49842.7</v>
      </c>
      <c r="H112" s="130">
        <f t="shared" si="13"/>
        <v>7063.6035813971102</v>
      </c>
      <c r="I112" s="139">
        <f t="shared" si="14"/>
        <v>7063.6035813971102</v>
      </c>
      <c r="J112" s="665">
        <f t="shared" si="15"/>
        <v>0</v>
      </c>
      <c r="K112" s="665"/>
      <c r="L112" s="132"/>
      <c r="M112" s="665">
        <f t="shared" si="10"/>
        <v>0</v>
      </c>
      <c r="N112" s="132"/>
      <c r="O112" s="665">
        <f t="shared" si="11"/>
        <v>0</v>
      </c>
      <c r="P112" s="665">
        <f t="shared" si="12"/>
        <v>0</v>
      </c>
    </row>
    <row r="113" spans="2:16">
      <c r="B113" s="9" t="str">
        <f t="shared" si="19"/>
        <v/>
      </c>
      <c r="C113" s="658">
        <f>IF(D93="","-",+C112+1)</f>
        <v>2036</v>
      </c>
      <c r="D113" s="659">
        <f>IF(F112+SUM(E$99:E112)=D$92,F112,D$92-SUM(E$99:E112))</f>
        <v>48997.7</v>
      </c>
      <c r="E113" s="69">
        <f t="shared" si="20"/>
        <v>1690</v>
      </c>
      <c r="F113" s="660">
        <f t="shared" si="21"/>
        <v>47307.7</v>
      </c>
      <c r="G113" s="660">
        <f t="shared" si="22"/>
        <v>48152.7</v>
      </c>
      <c r="H113" s="130">
        <f t="shared" si="13"/>
        <v>6881.4025759828546</v>
      </c>
      <c r="I113" s="139">
        <f t="shared" si="14"/>
        <v>6881.4025759828546</v>
      </c>
      <c r="J113" s="665">
        <f t="shared" si="15"/>
        <v>0</v>
      </c>
      <c r="K113" s="665"/>
      <c r="L113" s="132"/>
      <c r="M113" s="665">
        <f t="shared" si="10"/>
        <v>0</v>
      </c>
      <c r="N113" s="132"/>
      <c r="O113" s="665">
        <f t="shared" si="11"/>
        <v>0</v>
      </c>
      <c r="P113" s="665">
        <f t="shared" si="12"/>
        <v>0</v>
      </c>
    </row>
    <row r="114" spans="2:16">
      <c r="B114" s="9" t="str">
        <f t="shared" si="19"/>
        <v/>
      </c>
      <c r="C114" s="658">
        <f>IF(D93="","-",+C113+1)</f>
        <v>2037</v>
      </c>
      <c r="D114" s="659">
        <f>IF(F113+SUM(E$99:E113)=D$92,F113,D$92-SUM(E$99:E113))</f>
        <v>47307.7</v>
      </c>
      <c r="E114" s="69">
        <f t="shared" si="20"/>
        <v>1690</v>
      </c>
      <c r="F114" s="660">
        <f t="shared" si="21"/>
        <v>45617.7</v>
      </c>
      <c r="G114" s="660">
        <f t="shared" si="22"/>
        <v>46462.7</v>
      </c>
      <c r="H114" s="130">
        <f t="shared" si="13"/>
        <v>6699.201570568599</v>
      </c>
      <c r="I114" s="139">
        <f t="shared" si="14"/>
        <v>6699.201570568599</v>
      </c>
      <c r="J114" s="665">
        <f t="shared" si="15"/>
        <v>0</v>
      </c>
      <c r="K114" s="665"/>
      <c r="L114" s="132"/>
      <c r="M114" s="665">
        <f t="shared" si="10"/>
        <v>0</v>
      </c>
      <c r="N114" s="132"/>
      <c r="O114" s="665">
        <f t="shared" si="11"/>
        <v>0</v>
      </c>
      <c r="P114" s="665">
        <f t="shared" si="12"/>
        <v>0</v>
      </c>
    </row>
    <row r="115" spans="2:16">
      <c r="B115" s="9" t="str">
        <f t="shared" si="19"/>
        <v/>
      </c>
      <c r="C115" s="658">
        <f>IF(D93="","-",+C114+1)</f>
        <v>2038</v>
      </c>
      <c r="D115" s="659">
        <f>IF(F114+SUM(E$99:E114)=D$92,F114,D$92-SUM(E$99:E114))</f>
        <v>45617.7</v>
      </c>
      <c r="E115" s="69">
        <f t="shared" si="20"/>
        <v>1690</v>
      </c>
      <c r="F115" s="660">
        <f t="shared" si="21"/>
        <v>43927.7</v>
      </c>
      <c r="G115" s="660">
        <f t="shared" si="22"/>
        <v>44772.7</v>
      </c>
      <c r="H115" s="130">
        <f t="shared" si="13"/>
        <v>6517.0005651543433</v>
      </c>
      <c r="I115" s="139">
        <f t="shared" si="14"/>
        <v>6517.0005651543433</v>
      </c>
      <c r="J115" s="665">
        <f t="shared" si="15"/>
        <v>0</v>
      </c>
      <c r="K115" s="665"/>
      <c r="L115" s="132"/>
      <c r="M115" s="665">
        <f t="shared" si="10"/>
        <v>0</v>
      </c>
      <c r="N115" s="132"/>
      <c r="O115" s="665">
        <f t="shared" si="11"/>
        <v>0</v>
      </c>
      <c r="P115" s="665">
        <f t="shared" si="12"/>
        <v>0</v>
      </c>
    </row>
    <row r="116" spans="2:16">
      <c r="B116" s="9" t="str">
        <f t="shared" si="19"/>
        <v/>
      </c>
      <c r="C116" s="658">
        <f>IF(D93="","-",+C115+1)</f>
        <v>2039</v>
      </c>
      <c r="D116" s="659">
        <f>IF(F115+SUM(E$99:E115)=D$92,F115,D$92-SUM(E$99:E115))</f>
        <v>43927.7</v>
      </c>
      <c r="E116" s="69">
        <f t="shared" si="20"/>
        <v>1690</v>
      </c>
      <c r="F116" s="660">
        <f t="shared" si="21"/>
        <v>42237.7</v>
      </c>
      <c r="G116" s="660">
        <f t="shared" si="22"/>
        <v>43082.7</v>
      </c>
      <c r="H116" s="130">
        <f t="shared" si="13"/>
        <v>6334.7995597400877</v>
      </c>
      <c r="I116" s="139">
        <f t="shared" si="14"/>
        <v>6334.7995597400877</v>
      </c>
      <c r="J116" s="665">
        <f t="shared" si="15"/>
        <v>0</v>
      </c>
      <c r="K116" s="665"/>
      <c r="L116" s="132"/>
      <c r="M116" s="665">
        <f t="shared" si="10"/>
        <v>0</v>
      </c>
      <c r="N116" s="132"/>
      <c r="O116" s="665">
        <f t="shared" si="11"/>
        <v>0</v>
      </c>
      <c r="P116" s="665">
        <f t="shared" si="12"/>
        <v>0</v>
      </c>
    </row>
    <row r="117" spans="2:16">
      <c r="B117" s="9" t="str">
        <f t="shared" si="19"/>
        <v/>
      </c>
      <c r="C117" s="658">
        <f>IF(D93="","-",+C116+1)</f>
        <v>2040</v>
      </c>
      <c r="D117" s="659">
        <f>IF(F116+SUM(E$99:E116)=D$92,F116,D$92-SUM(E$99:E116))</f>
        <v>42237.7</v>
      </c>
      <c r="E117" s="69">
        <f t="shared" si="20"/>
        <v>1690</v>
      </c>
      <c r="F117" s="660">
        <f t="shared" si="21"/>
        <v>40547.699999999997</v>
      </c>
      <c r="G117" s="660">
        <f t="shared" si="22"/>
        <v>41392.699999999997</v>
      </c>
      <c r="H117" s="130">
        <f t="shared" si="13"/>
        <v>6152.5985543258321</v>
      </c>
      <c r="I117" s="139">
        <f t="shared" si="14"/>
        <v>6152.5985543258321</v>
      </c>
      <c r="J117" s="665">
        <f t="shared" si="15"/>
        <v>0</v>
      </c>
      <c r="K117" s="665"/>
      <c r="L117" s="132"/>
      <c r="M117" s="665">
        <f t="shared" si="10"/>
        <v>0</v>
      </c>
      <c r="N117" s="132"/>
      <c r="O117" s="665">
        <f t="shared" si="11"/>
        <v>0</v>
      </c>
      <c r="P117" s="665">
        <f t="shared" si="12"/>
        <v>0</v>
      </c>
    </row>
    <row r="118" spans="2:16">
      <c r="B118" s="9" t="str">
        <f t="shared" si="19"/>
        <v/>
      </c>
      <c r="C118" s="658">
        <f>IF(D93="","-",+C117+1)</f>
        <v>2041</v>
      </c>
      <c r="D118" s="659">
        <f>IF(F117+SUM(E$99:E117)=D$92,F117,D$92-SUM(E$99:E117))</f>
        <v>40547.699999999997</v>
      </c>
      <c r="E118" s="69">
        <f t="shared" si="20"/>
        <v>1690</v>
      </c>
      <c r="F118" s="660">
        <f t="shared" si="21"/>
        <v>38857.699999999997</v>
      </c>
      <c r="G118" s="660">
        <f t="shared" si="22"/>
        <v>39702.699999999997</v>
      </c>
      <c r="H118" s="130">
        <f t="shared" si="13"/>
        <v>5970.3975489115765</v>
      </c>
      <c r="I118" s="139">
        <f t="shared" si="14"/>
        <v>5970.3975489115765</v>
      </c>
      <c r="J118" s="665">
        <f t="shared" si="15"/>
        <v>0</v>
      </c>
      <c r="K118" s="665"/>
      <c r="L118" s="132"/>
      <c r="M118" s="665">
        <f t="shared" si="10"/>
        <v>0</v>
      </c>
      <c r="N118" s="132"/>
      <c r="O118" s="665">
        <f t="shared" si="11"/>
        <v>0</v>
      </c>
      <c r="P118" s="665">
        <f t="shared" si="12"/>
        <v>0</v>
      </c>
    </row>
    <row r="119" spans="2:16">
      <c r="B119" s="9" t="str">
        <f t="shared" si="19"/>
        <v/>
      </c>
      <c r="C119" s="658">
        <f>IF(D93="","-",+C118+1)</f>
        <v>2042</v>
      </c>
      <c r="D119" s="659">
        <f>IF(F118+SUM(E$99:E118)=D$92,F118,D$92-SUM(E$99:E118))</f>
        <v>38857.699999999997</v>
      </c>
      <c r="E119" s="69">
        <f t="shared" si="20"/>
        <v>1690</v>
      </c>
      <c r="F119" s="660">
        <f t="shared" si="21"/>
        <v>37167.699999999997</v>
      </c>
      <c r="G119" s="660">
        <f t="shared" si="22"/>
        <v>38012.699999999997</v>
      </c>
      <c r="H119" s="130">
        <f t="shared" si="13"/>
        <v>5788.1965434973208</v>
      </c>
      <c r="I119" s="139">
        <f t="shared" si="14"/>
        <v>5788.1965434973208</v>
      </c>
      <c r="J119" s="665">
        <f t="shared" si="15"/>
        <v>0</v>
      </c>
      <c r="K119" s="665"/>
      <c r="L119" s="132"/>
      <c r="M119" s="665">
        <f t="shared" si="10"/>
        <v>0</v>
      </c>
      <c r="N119" s="132"/>
      <c r="O119" s="665">
        <f t="shared" si="11"/>
        <v>0</v>
      </c>
      <c r="P119" s="665">
        <f t="shared" si="12"/>
        <v>0</v>
      </c>
    </row>
    <row r="120" spans="2:16">
      <c r="B120" s="9" t="str">
        <f t="shared" si="19"/>
        <v/>
      </c>
      <c r="C120" s="658">
        <f>IF(D93="","-",+C119+1)</f>
        <v>2043</v>
      </c>
      <c r="D120" s="659">
        <f>IF(F119+SUM(E$99:E119)=D$92,F119,D$92-SUM(E$99:E119))</f>
        <v>37167.699999999997</v>
      </c>
      <c r="E120" s="69">
        <f t="shared" si="20"/>
        <v>1690</v>
      </c>
      <c r="F120" s="660">
        <f t="shared" si="21"/>
        <v>35477.699999999997</v>
      </c>
      <c r="G120" s="660">
        <f t="shared" si="22"/>
        <v>36322.699999999997</v>
      </c>
      <c r="H120" s="130">
        <f t="shared" si="13"/>
        <v>5605.9955380830652</v>
      </c>
      <c r="I120" s="139">
        <f t="shared" si="14"/>
        <v>5605.9955380830652</v>
      </c>
      <c r="J120" s="665">
        <f t="shared" si="15"/>
        <v>0</v>
      </c>
      <c r="K120" s="665"/>
      <c r="L120" s="132"/>
      <c r="M120" s="665">
        <f t="shared" si="10"/>
        <v>0</v>
      </c>
      <c r="N120" s="132"/>
      <c r="O120" s="665">
        <f t="shared" si="11"/>
        <v>0</v>
      </c>
      <c r="P120" s="665">
        <f t="shared" si="12"/>
        <v>0</v>
      </c>
    </row>
    <row r="121" spans="2:16">
      <c r="B121" s="9" t="str">
        <f t="shared" si="19"/>
        <v/>
      </c>
      <c r="C121" s="658">
        <f>IF(D93="","-",+C120+1)</f>
        <v>2044</v>
      </c>
      <c r="D121" s="659">
        <f>IF(F120+SUM(E$99:E120)=D$92,F120,D$92-SUM(E$99:E120))</f>
        <v>35477.699999999997</v>
      </c>
      <c r="E121" s="69">
        <f t="shared" si="20"/>
        <v>1690</v>
      </c>
      <c r="F121" s="660">
        <f t="shared" si="21"/>
        <v>33787.699999999997</v>
      </c>
      <c r="G121" s="660">
        <f t="shared" si="22"/>
        <v>34632.699999999997</v>
      </c>
      <c r="H121" s="130">
        <f t="shared" si="13"/>
        <v>5423.7945326688096</v>
      </c>
      <c r="I121" s="139">
        <f t="shared" si="14"/>
        <v>5423.7945326688096</v>
      </c>
      <c r="J121" s="665">
        <f t="shared" si="15"/>
        <v>0</v>
      </c>
      <c r="K121" s="665"/>
      <c r="L121" s="132"/>
      <c r="M121" s="665">
        <f t="shared" si="10"/>
        <v>0</v>
      </c>
      <c r="N121" s="132"/>
      <c r="O121" s="665">
        <f t="shared" si="11"/>
        <v>0</v>
      </c>
      <c r="P121" s="665">
        <f t="shared" si="12"/>
        <v>0</v>
      </c>
    </row>
    <row r="122" spans="2:16">
      <c r="B122" s="9" t="str">
        <f t="shared" si="19"/>
        <v/>
      </c>
      <c r="C122" s="658">
        <f>IF(D93="","-",+C121+1)</f>
        <v>2045</v>
      </c>
      <c r="D122" s="659">
        <f>IF(F121+SUM(E$99:E121)=D$92,F121,D$92-SUM(E$99:E121))</f>
        <v>33787.699999999997</v>
      </c>
      <c r="E122" s="69">
        <f t="shared" si="20"/>
        <v>1690</v>
      </c>
      <c r="F122" s="660">
        <f t="shared" si="21"/>
        <v>32097.699999999997</v>
      </c>
      <c r="G122" s="660">
        <f t="shared" si="22"/>
        <v>32942.699999999997</v>
      </c>
      <c r="H122" s="130">
        <f t="shared" si="13"/>
        <v>5241.5935272545539</v>
      </c>
      <c r="I122" s="139">
        <f t="shared" si="14"/>
        <v>5241.5935272545539</v>
      </c>
      <c r="J122" s="665">
        <f t="shared" si="15"/>
        <v>0</v>
      </c>
      <c r="K122" s="665"/>
      <c r="L122" s="132"/>
      <c r="M122" s="665">
        <f t="shared" si="10"/>
        <v>0</v>
      </c>
      <c r="N122" s="132"/>
      <c r="O122" s="665">
        <f t="shared" si="11"/>
        <v>0</v>
      </c>
      <c r="P122" s="665">
        <f t="shared" si="12"/>
        <v>0</v>
      </c>
    </row>
    <row r="123" spans="2:16">
      <c r="B123" s="9" t="str">
        <f t="shared" si="19"/>
        <v/>
      </c>
      <c r="C123" s="658">
        <f>IF(D93="","-",+C122+1)</f>
        <v>2046</v>
      </c>
      <c r="D123" s="659">
        <f>IF(F122+SUM(E$99:E122)=D$92,F122,D$92-SUM(E$99:E122))</f>
        <v>32097.699999999997</v>
      </c>
      <c r="E123" s="69">
        <f t="shared" si="20"/>
        <v>1690</v>
      </c>
      <c r="F123" s="660">
        <f t="shared" si="21"/>
        <v>30407.699999999997</v>
      </c>
      <c r="G123" s="660">
        <f t="shared" si="22"/>
        <v>31252.699999999997</v>
      </c>
      <c r="H123" s="130">
        <f t="shared" si="13"/>
        <v>5059.3925218402983</v>
      </c>
      <c r="I123" s="139">
        <f t="shared" si="14"/>
        <v>5059.3925218402983</v>
      </c>
      <c r="J123" s="665">
        <f t="shared" si="15"/>
        <v>0</v>
      </c>
      <c r="K123" s="665"/>
      <c r="L123" s="132"/>
      <c r="M123" s="665">
        <f t="shared" si="10"/>
        <v>0</v>
      </c>
      <c r="N123" s="132"/>
      <c r="O123" s="665">
        <f t="shared" si="11"/>
        <v>0</v>
      </c>
      <c r="P123" s="665">
        <f t="shared" si="12"/>
        <v>0</v>
      </c>
    </row>
    <row r="124" spans="2:16">
      <c r="B124" s="9" t="str">
        <f t="shared" si="19"/>
        <v/>
      </c>
      <c r="C124" s="658">
        <f>IF(D93="","-",+C123+1)</f>
        <v>2047</v>
      </c>
      <c r="D124" s="659">
        <f>IF(F123+SUM(E$99:E123)=D$92,F123,D$92-SUM(E$99:E123))</f>
        <v>30407.699999999997</v>
      </c>
      <c r="E124" s="69">
        <f t="shared" si="20"/>
        <v>1690</v>
      </c>
      <c r="F124" s="660">
        <f t="shared" si="21"/>
        <v>28717.699999999997</v>
      </c>
      <c r="G124" s="660">
        <f t="shared" si="22"/>
        <v>29562.699999999997</v>
      </c>
      <c r="H124" s="130">
        <f t="shared" si="13"/>
        <v>4877.1915164260427</v>
      </c>
      <c r="I124" s="139">
        <f t="shared" si="14"/>
        <v>4877.1915164260427</v>
      </c>
      <c r="J124" s="665">
        <f t="shared" si="15"/>
        <v>0</v>
      </c>
      <c r="K124" s="665"/>
      <c r="L124" s="132"/>
      <c r="M124" s="665">
        <f t="shared" si="10"/>
        <v>0</v>
      </c>
      <c r="N124" s="132"/>
      <c r="O124" s="665">
        <f t="shared" si="11"/>
        <v>0</v>
      </c>
      <c r="P124" s="665">
        <f t="shared" si="12"/>
        <v>0</v>
      </c>
    </row>
    <row r="125" spans="2:16">
      <c r="B125" s="9" t="str">
        <f t="shared" si="19"/>
        <v/>
      </c>
      <c r="C125" s="658">
        <f>IF(D93="","-",+C124+1)</f>
        <v>2048</v>
      </c>
      <c r="D125" s="659">
        <f>IF(F124+SUM(E$99:E124)=D$92,F124,D$92-SUM(E$99:E124))</f>
        <v>28717.699999999997</v>
      </c>
      <c r="E125" s="69">
        <f t="shared" si="20"/>
        <v>1690</v>
      </c>
      <c r="F125" s="660">
        <f t="shared" si="21"/>
        <v>27027.699999999997</v>
      </c>
      <c r="G125" s="660">
        <f t="shared" si="22"/>
        <v>27872.699999999997</v>
      </c>
      <c r="H125" s="130">
        <f t="shared" si="13"/>
        <v>4694.990511011787</v>
      </c>
      <c r="I125" s="139">
        <f t="shared" si="14"/>
        <v>4694.990511011787</v>
      </c>
      <c r="J125" s="665">
        <f t="shared" si="15"/>
        <v>0</v>
      </c>
      <c r="K125" s="665"/>
      <c r="L125" s="132"/>
      <c r="M125" s="665">
        <f t="shared" si="10"/>
        <v>0</v>
      </c>
      <c r="N125" s="132"/>
      <c r="O125" s="665">
        <f t="shared" si="11"/>
        <v>0</v>
      </c>
      <c r="P125" s="665">
        <f t="shared" si="12"/>
        <v>0</v>
      </c>
    </row>
    <row r="126" spans="2:16">
      <c r="B126" s="9" t="str">
        <f t="shared" si="19"/>
        <v/>
      </c>
      <c r="C126" s="658">
        <f>IF(D93="","-",+C125+1)</f>
        <v>2049</v>
      </c>
      <c r="D126" s="659">
        <f>IF(F125+SUM(E$99:E125)=D$92,F125,D$92-SUM(E$99:E125))</f>
        <v>27027.699999999997</v>
      </c>
      <c r="E126" s="69">
        <f t="shared" si="20"/>
        <v>1690</v>
      </c>
      <c r="F126" s="660">
        <f t="shared" si="21"/>
        <v>25337.699999999997</v>
      </c>
      <c r="G126" s="660">
        <f t="shared" si="22"/>
        <v>26182.699999999997</v>
      </c>
      <c r="H126" s="130">
        <f t="shared" si="13"/>
        <v>4512.7895055975314</v>
      </c>
      <c r="I126" s="139">
        <f t="shared" si="14"/>
        <v>4512.7895055975314</v>
      </c>
      <c r="J126" s="665">
        <f t="shared" si="15"/>
        <v>0</v>
      </c>
      <c r="K126" s="665"/>
      <c r="L126" s="132"/>
      <c r="M126" s="665">
        <f t="shared" si="10"/>
        <v>0</v>
      </c>
      <c r="N126" s="132"/>
      <c r="O126" s="665">
        <f t="shared" si="11"/>
        <v>0</v>
      </c>
      <c r="P126" s="665">
        <f t="shared" si="12"/>
        <v>0</v>
      </c>
    </row>
    <row r="127" spans="2:16">
      <c r="B127" s="9" t="str">
        <f t="shared" si="19"/>
        <v/>
      </c>
      <c r="C127" s="658">
        <f>IF(D93="","-",+C126+1)</f>
        <v>2050</v>
      </c>
      <c r="D127" s="659">
        <f>IF(F126+SUM(E$99:E126)=D$92,F126,D$92-SUM(E$99:E126))</f>
        <v>25337.699999999997</v>
      </c>
      <c r="E127" s="69">
        <f t="shared" si="20"/>
        <v>1690</v>
      </c>
      <c r="F127" s="660">
        <f t="shared" si="21"/>
        <v>23647.699999999997</v>
      </c>
      <c r="G127" s="660">
        <f t="shared" si="22"/>
        <v>24492.699999999997</v>
      </c>
      <c r="H127" s="130">
        <f t="shared" si="13"/>
        <v>4330.5885001832758</v>
      </c>
      <c r="I127" s="139">
        <f t="shared" si="14"/>
        <v>4330.5885001832758</v>
      </c>
      <c r="J127" s="665">
        <f t="shared" si="15"/>
        <v>0</v>
      </c>
      <c r="K127" s="665"/>
      <c r="L127" s="132"/>
      <c r="M127" s="665">
        <f t="shared" si="10"/>
        <v>0</v>
      </c>
      <c r="N127" s="132"/>
      <c r="O127" s="665">
        <f t="shared" si="11"/>
        <v>0</v>
      </c>
      <c r="P127" s="665">
        <f t="shared" si="12"/>
        <v>0</v>
      </c>
    </row>
    <row r="128" spans="2:16">
      <c r="B128" s="9" t="str">
        <f t="shared" si="19"/>
        <v/>
      </c>
      <c r="C128" s="658">
        <f>IF(D93="","-",+C127+1)</f>
        <v>2051</v>
      </c>
      <c r="D128" s="659">
        <f>IF(F127+SUM(E$99:E127)=D$92,F127,D$92-SUM(E$99:E127))</f>
        <v>23647.699999999997</v>
      </c>
      <c r="E128" s="69">
        <f t="shared" si="20"/>
        <v>1690</v>
      </c>
      <c r="F128" s="660">
        <f t="shared" si="21"/>
        <v>21957.699999999997</v>
      </c>
      <c r="G128" s="660">
        <f t="shared" si="22"/>
        <v>22802.699999999997</v>
      </c>
      <c r="H128" s="130">
        <f t="shared" si="13"/>
        <v>4148.3874947690201</v>
      </c>
      <c r="I128" s="139">
        <f t="shared" si="14"/>
        <v>4148.3874947690201</v>
      </c>
      <c r="J128" s="665">
        <f t="shared" si="15"/>
        <v>0</v>
      </c>
      <c r="K128" s="665"/>
      <c r="L128" s="132"/>
      <c r="M128" s="665">
        <f t="shared" si="10"/>
        <v>0</v>
      </c>
      <c r="N128" s="132"/>
      <c r="O128" s="665">
        <f t="shared" si="11"/>
        <v>0</v>
      </c>
      <c r="P128" s="665">
        <f t="shared" si="12"/>
        <v>0</v>
      </c>
    </row>
    <row r="129" spans="2:16">
      <c r="B129" s="9" t="str">
        <f t="shared" si="19"/>
        <v/>
      </c>
      <c r="C129" s="658">
        <f>IF(D93="","-",+C128+1)</f>
        <v>2052</v>
      </c>
      <c r="D129" s="659">
        <f>IF(F128+SUM(E$99:E128)=D$92,F128,D$92-SUM(E$99:E128))</f>
        <v>21957.699999999997</v>
      </c>
      <c r="E129" s="69">
        <f t="shared" si="20"/>
        <v>1690</v>
      </c>
      <c r="F129" s="660">
        <f t="shared" si="21"/>
        <v>20267.699999999997</v>
      </c>
      <c r="G129" s="660">
        <f t="shared" si="22"/>
        <v>21112.699999999997</v>
      </c>
      <c r="H129" s="130">
        <f t="shared" si="13"/>
        <v>3966.1864893547654</v>
      </c>
      <c r="I129" s="139">
        <f t="shared" si="14"/>
        <v>3966.1864893547654</v>
      </c>
      <c r="J129" s="665">
        <f t="shared" si="15"/>
        <v>0</v>
      </c>
      <c r="K129" s="665"/>
      <c r="L129" s="132"/>
      <c r="M129" s="665">
        <f t="shared" si="10"/>
        <v>0</v>
      </c>
      <c r="N129" s="132"/>
      <c r="O129" s="665">
        <f t="shared" si="11"/>
        <v>0</v>
      </c>
      <c r="P129" s="665">
        <f t="shared" si="12"/>
        <v>0</v>
      </c>
    </row>
    <row r="130" spans="2:16">
      <c r="B130" s="9" t="str">
        <f t="shared" si="19"/>
        <v/>
      </c>
      <c r="C130" s="658">
        <f>IF(D93="","-",+C129+1)</f>
        <v>2053</v>
      </c>
      <c r="D130" s="659">
        <f>IF(F129+SUM(E$99:E129)=D$92,F129,D$92-SUM(E$99:E129))</f>
        <v>20267.699999999997</v>
      </c>
      <c r="E130" s="69">
        <f t="shared" si="20"/>
        <v>1690</v>
      </c>
      <c r="F130" s="660">
        <f t="shared" si="21"/>
        <v>18577.699999999997</v>
      </c>
      <c r="G130" s="660">
        <f t="shared" si="22"/>
        <v>19422.699999999997</v>
      </c>
      <c r="H130" s="130">
        <f t="shared" si="13"/>
        <v>3783.9854839405098</v>
      </c>
      <c r="I130" s="139">
        <f t="shared" si="14"/>
        <v>3783.9854839405098</v>
      </c>
      <c r="J130" s="665">
        <f t="shared" si="15"/>
        <v>0</v>
      </c>
      <c r="K130" s="665"/>
      <c r="L130" s="132"/>
      <c r="M130" s="665">
        <f t="shared" si="10"/>
        <v>0</v>
      </c>
      <c r="N130" s="132"/>
      <c r="O130" s="665">
        <f t="shared" si="11"/>
        <v>0</v>
      </c>
      <c r="P130" s="665">
        <f t="shared" si="12"/>
        <v>0</v>
      </c>
    </row>
    <row r="131" spans="2:16">
      <c r="B131" s="9" t="str">
        <f t="shared" si="19"/>
        <v/>
      </c>
      <c r="C131" s="658">
        <f>IF(D93="","-",+C130+1)</f>
        <v>2054</v>
      </c>
      <c r="D131" s="659">
        <f>IF(F130+SUM(E$99:E130)=D$92,F130,D$92-SUM(E$99:E130))</f>
        <v>18577.699999999997</v>
      </c>
      <c r="E131" s="69">
        <f t="shared" si="20"/>
        <v>1690</v>
      </c>
      <c r="F131" s="660">
        <f t="shared" si="21"/>
        <v>16887.699999999997</v>
      </c>
      <c r="G131" s="660">
        <f t="shared" si="22"/>
        <v>17732.699999999997</v>
      </c>
      <c r="H131" s="130">
        <f t="shared" si="13"/>
        <v>3601.7844785262541</v>
      </c>
      <c r="I131" s="139">
        <f t="shared" si="14"/>
        <v>3601.7844785262541</v>
      </c>
      <c r="J131" s="665">
        <f t="shared" ref="J131:J154" si="23">+I541-H541</f>
        <v>0</v>
      </c>
      <c r="K131" s="665"/>
      <c r="L131" s="132"/>
      <c r="M131" s="665">
        <f t="shared" ref="M131:M154" si="24">IF(L541&lt;&gt;0,+H541-L541,0)</f>
        <v>0</v>
      </c>
      <c r="N131" s="132"/>
      <c r="O131" s="665">
        <f t="shared" ref="O131:O154" si="25">IF(N541&lt;&gt;0,+I541-N541,0)</f>
        <v>0</v>
      </c>
      <c r="P131" s="665">
        <f t="shared" ref="P131:P154" si="26">+O541-M541</f>
        <v>0</v>
      </c>
    </row>
    <row r="132" spans="2:16">
      <c r="B132" s="9" t="str">
        <f t="shared" si="19"/>
        <v/>
      </c>
      <c r="C132" s="658">
        <f>IF(D93="","-",+C131+1)</f>
        <v>2055</v>
      </c>
      <c r="D132" s="659">
        <f>IF(F131+SUM(E$99:E131)=D$92,F131,D$92-SUM(E$99:E131))</f>
        <v>16887.699999999997</v>
      </c>
      <c r="E132" s="69">
        <f t="shared" si="20"/>
        <v>1690</v>
      </c>
      <c r="F132" s="660">
        <f t="shared" si="21"/>
        <v>15197.699999999997</v>
      </c>
      <c r="G132" s="660">
        <f t="shared" si="22"/>
        <v>16042.699999999997</v>
      </c>
      <c r="H132" s="130">
        <f t="shared" si="13"/>
        <v>3419.5834731119985</v>
      </c>
      <c r="I132" s="139">
        <f t="shared" si="14"/>
        <v>3419.5834731119985</v>
      </c>
      <c r="J132" s="665">
        <f t="shared" si="23"/>
        <v>0</v>
      </c>
      <c r="K132" s="665"/>
      <c r="L132" s="132"/>
      <c r="M132" s="665">
        <f t="shared" si="24"/>
        <v>0</v>
      </c>
      <c r="N132" s="132"/>
      <c r="O132" s="665">
        <f t="shared" si="25"/>
        <v>0</v>
      </c>
      <c r="P132" s="665">
        <f t="shared" si="26"/>
        <v>0</v>
      </c>
    </row>
    <row r="133" spans="2:16">
      <c r="B133" s="9" t="str">
        <f t="shared" si="19"/>
        <v/>
      </c>
      <c r="C133" s="658">
        <f>IF(D93="","-",+C132+1)</f>
        <v>2056</v>
      </c>
      <c r="D133" s="659">
        <f>IF(F132+SUM(E$99:E132)=D$92,F132,D$92-SUM(E$99:E132))</f>
        <v>15197.699999999997</v>
      </c>
      <c r="E133" s="69">
        <f t="shared" si="20"/>
        <v>1690</v>
      </c>
      <c r="F133" s="660">
        <f t="shared" si="21"/>
        <v>13507.699999999997</v>
      </c>
      <c r="G133" s="660">
        <f t="shared" si="22"/>
        <v>14352.699999999997</v>
      </c>
      <c r="H133" s="130">
        <f t="shared" si="13"/>
        <v>3237.3824676977429</v>
      </c>
      <c r="I133" s="139">
        <f t="shared" si="14"/>
        <v>3237.3824676977429</v>
      </c>
      <c r="J133" s="665">
        <f t="shared" si="23"/>
        <v>0</v>
      </c>
      <c r="K133" s="665"/>
      <c r="L133" s="132"/>
      <c r="M133" s="665">
        <f t="shared" si="24"/>
        <v>0</v>
      </c>
      <c r="N133" s="132"/>
      <c r="O133" s="665">
        <f t="shared" si="25"/>
        <v>0</v>
      </c>
      <c r="P133" s="665">
        <f t="shared" si="26"/>
        <v>0</v>
      </c>
    </row>
    <row r="134" spans="2:16">
      <c r="B134" s="9" t="str">
        <f t="shared" si="19"/>
        <v/>
      </c>
      <c r="C134" s="658">
        <f>IF(D93="","-",+C133+1)</f>
        <v>2057</v>
      </c>
      <c r="D134" s="659">
        <f>IF(F133+SUM(E$99:E133)=D$92,F133,D$92-SUM(E$99:E133))</f>
        <v>13507.699999999997</v>
      </c>
      <c r="E134" s="69">
        <f t="shared" si="20"/>
        <v>1690</v>
      </c>
      <c r="F134" s="660">
        <f t="shared" si="21"/>
        <v>11817.699999999997</v>
      </c>
      <c r="G134" s="660">
        <f t="shared" si="22"/>
        <v>12662.699999999997</v>
      </c>
      <c r="H134" s="130">
        <f t="shared" si="13"/>
        <v>3055.1814622834872</v>
      </c>
      <c r="I134" s="139">
        <f t="shared" si="14"/>
        <v>3055.1814622834872</v>
      </c>
      <c r="J134" s="665">
        <f t="shared" si="23"/>
        <v>0</v>
      </c>
      <c r="K134" s="665"/>
      <c r="L134" s="132"/>
      <c r="M134" s="665">
        <f t="shared" si="24"/>
        <v>0</v>
      </c>
      <c r="N134" s="132"/>
      <c r="O134" s="665">
        <f t="shared" si="25"/>
        <v>0</v>
      </c>
      <c r="P134" s="665">
        <f t="shared" si="26"/>
        <v>0</v>
      </c>
    </row>
    <row r="135" spans="2:16">
      <c r="B135" s="9" t="str">
        <f t="shared" si="19"/>
        <v/>
      </c>
      <c r="C135" s="658">
        <f>IF(D93="","-",+C134+1)</f>
        <v>2058</v>
      </c>
      <c r="D135" s="659">
        <f>IF(F134+SUM(E$99:E134)=D$92,F134,D$92-SUM(E$99:E134))</f>
        <v>11817.699999999997</v>
      </c>
      <c r="E135" s="69">
        <f t="shared" si="20"/>
        <v>1690</v>
      </c>
      <c r="F135" s="660">
        <f t="shared" si="21"/>
        <v>10127.699999999997</v>
      </c>
      <c r="G135" s="660">
        <f t="shared" si="22"/>
        <v>10972.699999999997</v>
      </c>
      <c r="H135" s="130">
        <f t="shared" si="13"/>
        <v>2872.9804568692316</v>
      </c>
      <c r="I135" s="139">
        <f t="shared" si="14"/>
        <v>2872.9804568692316</v>
      </c>
      <c r="J135" s="665">
        <f t="shared" si="23"/>
        <v>0</v>
      </c>
      <c r="K135" s="665"/>
      <c r="L135" s="132"/>
      <c r="M135" s="665">
        <f t="shared" si="24"/>
        <v>0</v>
      </c>
      <c r="N135" s="132"/>
      <c r="O135" s="665">
        <f t="shared" si="25"/>
        <v>0</v>
      </c>
      <c r="P135" s="665">
        <f t="shared" si="26"/>
        <v>0</v>
      </c>
    </row>
    <row r="136" spans="2:16">
      <c r="B136" s="9" t="str">
        <f t="shared" si="19"/>
        <v/>
      </c>
      <c r="C136" s="658">
        <f>IF(D93="","-",+C135+1)</f>
        <v>2059</v>
      </c>
      <c r="D136" s="659">
        <f>IF(F135+SUM(E$99:E135)=D$92,F135,D$92-SUM(E$99:E135))</f>
        <v>10127.699999999997</v>
      </c>
      <c r="E136" s="69">
        <f t="shared" si="20"/>
        <v>1690</v>
      </c>
      <c r="F136" s="660">
        <f t="shared" si="21"/>
        <v>8437.6999999999971</v>
      </c>
      <c r="G136" s="660">
        <f t="shared" si="22"/>
        <v>9282.6999999999971</v>
      </c>
      <c r="H136" s="130">
        <f t="shared" si="13"/>
        <v>2690.779451454976</v>
      </c>
      <c r="I136" s="139">
        <f t="shared" si="14"/>
        <v>2690.779451454976</v>
      </c>
      <c r="J136" s="665">
        <f t="shared" si="23"/>
        <v>0</v>
      </c>
      <c r="K136" s="665"/>
      <c r="L136" s="132"/>
      <c r="M136" s="665">
        <f t="shared" si="24"/>
        <v>0</v>
      </c>
      <c r="N136" s="132"/>
      <c r="O136" s="665">
        <f t="shared" si="25"/>
        <v>0</v>
      </c>
      <c r="P136" s="665">
        <f t="shared" si="26"/>
        <v>0</v>
      </c>
    </row>
    <row r="137" spans="2:16">
      <c r="B137" s="9" t="str">
        <f t="shared" si="19"/>
        <v/>
      </c>
      <c r="C137" s="658">
        <f>IF(D93="","-",+C136+1)</f>
        <v>2060</v>
      </c>
      <c r="D137" s="659">
        <f>IF(F136+SUM(E$99:E136)=D$92,F136,D$92-SUM(E$99:E136))</f>
        <v>8437.6999999999971</v>
      </c>
      <c r="E137" s="69">
        <f t="shared" si="20"/>
        <v>1690</v>
      </c>
      <c r="F137" s="660">
        <f t="shared" si="21"/>
        <v>6747.6999999999971</v>
      </c>
      <c r="G137" s="660">
        <f t="shared" si="22"/>
        <v>7592.6999999999971</v>
      </c>
      <c r="H137" s="130">
        <f t="shared" si="13"/>
        <v>2508.5784460407203</v>
      </c>
      <c r="I137" s="139">
        <f t="shared" si="14"/>
        <v>2508.5784460407203</v>
      </c>
      <c r="J137" s="665">
        <f t="shared" si="23"/>
        <v>0</v>
      </c>
      <c r="K137" s="665"/>
      <c r="L137" s="132"/>
      <c r="M137" s="665">
        <f t="shared" si="24"/>
        <v>0</v>
      </c>
      <c r="N137" s="132"/>
      <c r="O137" s="665">
        <f t="shared" si="25"/>
        <v>0</v>
      </c>
      <c r="P137" s="665">
        <f t="shared" si="26"/>
        <v>0</v>
      </c>
    </row>
    <row r="138" spans="2:16">
      <c r="B138" s="9" t="str">
        <f t="shared" si="19"/>
        <v/>
      </c>
      <c r="C138" s="658">
        <f>IF(D93="","-",+C137+1)</f>
        <v>2061</v>
      </c>
      <c r="D138" s="659">
        <f>IF(F137+SUM(E$99:E137)=D$92,F137,D$92-SUM(E$99:E137))</f>
        <v>6747.6999999999971</v>
      </c>
      <c r="E138" s="69">
        <f t="shared" si="20"/>
        <v>1690</v>
      </c>
      <c r="F138" s="660">
        <f t="shared" si="21"/>
        <v>5057.6999999999971</v>
      </c>
      <c r="G138" s="660">
        <f t="shared" si="22"/>
        <v>5902.6999999999971</v>
      </c>
      <c r="H138" s="130">
        <f t="shared" si="13"/>
        <v>2326.3774406264652</v>
      </c>
      <c r="I138" s="139">
        <f t="shared" si="14"/>
        <v>2326.3774406264652</v>
      </c>
      <c r="J138" s="665">
        <f t="shared" si="23"/>
        <v>0</v>
      </c>
      <c r="K138" s="665"/>
      <c r="L138" s="132"/>
      <c r="M138" s="665">
        <f t="shared" si="24"/>
        <v>0</v>
      </c>
      <c r="N138" s="132"/>
      <c r="O138" s="665">
        <f t="shared" si="25"/>
        <v>0</v>
      </c>
      <c r="P138" s="665">
        <f t="shared" si="26"/>
        <v>0</v>
      </c>
    </row>
    <row r="139" spans="2:16">
      <c r="B139" s="9" t="str">
        <f t="shared" si="19"/>
        <v/>
      </c>
      <c r="C139" s="658">
        <f>IF(D93="","-",+C138+1)</f>
        <v>2062</v>
      </c>
      <c r="D139" s="659">
        <f>IF(F138+SUM(E$99:E138)=D$92,F138,D$92-SUM(E$99:E138))</f>
        <v>5057.6999999999971</v>
      </c>
      <c r="E139" s="69">
        <f t="shared" si="20"/>
        <v>1690</v>
      </c>
      <c r="F139" s="660">
        <f t="shared" si="21"/>
        <v>3367.6999999999971</v>
      </c>
      <c r="G139" s="660">
        <f t="shared" si="22"/>
        <v>4212.6999999999971</v>
      </c>
      <c r="H139" s="130">
        <f t="shared" si="13"/>
        <v>2144.1764352122095</v>
      </c>
      <c r="I139" s="139">
        <f t="shared" si="14"/>
        <v>2144.1764352122095</v>
      </c>
      <c r="J139" s="665">
        <f t="shared" si="23"/>
        <v>0</v>
      </c>
      <c r="K139" s="665"/>
      <c r="L139" s="132"/>
      <c r="M139" s="665">
        <f t="shared" si="24"/>
        <v>0</v>
      </c>
      <c r="N139" s="132"/>
      <c r="O139" s="665">
        <f t="shared" si="25"/>
        <v>0</v>
      </c>
      <c r="P139" s="665">
        <f t="shared" si="26"/>
        <v>0</v>
      </c>
    </row>
    <row r="140" spans="2:16">
      <c r="B140" s="9" t="str">
        <f t="shared" si="19"/>
        <v/>
      </c>
      <c r="C140" s="658">
        <f>IF(D93="","-",+C139+1)</f>
        <v>2063</v>
      </c>
      <c r="D140" s="659">
        <f>IF(F139+SUM(E$99:E139)=D$92,F139,D$92-SUM(E$99:E139))</f>
        <v>3367.6999999999971</v>
      </c>
      <c r="E140" s="69">
        <f t="shared" si="20"/>
        <v>1690</v>
      </c>
      <c r="F140" s="660">
        <f t="shared" si="21"/>
        <v>1677.6999999999971</v>
      </c>
      <c r="G140" s="660">
        <f t="shared" si="22"/>
        <v>2522.6999999999971</v>
      </c>
      <c r="H140" s="130">
        <f t="shared" si="13"/>
        <v>1961.9754297979539</v>
      </c>
      <c r="I140" s="139">
        <f t="shared" si="14"/>
        <v>1961.9754297979539</v>
      </c>
      <c r="J140" s="665">
        <f t="shared" si="23"/>
        <v>0</v>
      </c>
      <c r="K140" s="665"/>
      <c r="L140" s="132"/>
      <c r="M140" s="665">
        <f t="shared" si="24"/>
        <v>0</v>
      </c>
      <c r="N140" s="132"/>
      <c r="O140" s="665">
        <f t="shared" si="25"/>
        <v>0</v>
      </c>
      <c r="P140" s="665">
        <f t="shared" si="26"/>
        <v>0</v>
      </c>
    </row>
    <row r="141" spans="2:16">
      <c r="B141" s="9" t="str">
        <f t="shared" si="19"/>
        <v/>
      </c>
      <c r="C141" s="658">
        <f>IF(D93="","-",+C140+1)</f>
        <v>2064</v>
      </c>
      <c r="D141" s="659">
        <f>IF(F140+SUM(E$99:E140)=D$92,F140,D$92-SUM(E$99:E140))</f>
        <v>1677.6999999999971</v>
      </c>
      <c r="E141" s="69">
        <f t="shared" si="20"/>
        <v>1677.6999999999971</v>
      </c>
      <c r="F141" s="660">
        <f t="shared" si="21"/>
        <v>0</v>
      </c>
      <c r="G141" s="660">
        <f t="shared" si="22"/>
        <v>838.84999999999854</v>
      </c>
      <c r="H141" s="130">
        <f t="shared" si="13"/>
        <v>1768.1374635454101</v>
      </c>
      <c r="I141" s="139">
        <f t="shared" si="14"/>
        <v>1768.1374635454101</v>
      </c>
      <c r="J141" s="665">
        <f t="shared" si="23"/>
        <v>0</v>
      </c>
      <c r="K141" s="665"/>
      <c r="L141" s="132"/>
      <c r="M141" s="665">
        <f t="shared" si="24"/>
        <v>0</v>
      </c>
      <c r="N141" s="132"/>
      <c r="O141" s="665">
        <f t="shared" si="25"/>
        <v>0</v>
      </c>
      <c r="P141" s="665">
        <f t="shared" si="26"/>
        <v>0</v>
      </c>
    </row>
    <row r="142" spans="2:16">
      <c r="B142" s="9" t="str">
        <f t="shared" si="19"/>
        <v/>
      </c>
      <c r="C142" s="658">
        <f>IF(D93="","-",+C141+1)</f>
        <v>2065</v>
      </c>
      <c r="D142" s="659">
        <f>IF(F141+SUM(E$99:E141)=D$92,F141,D$92-SUM(E$99:E141))</f>
        <v>0</v>
      </c>
      <c r="E142" s="69">
        <f t="shared" si="20"/>
        <v>0</v>
      </c>
      <c r="F142" s="660">
        <f t="shared" si="21"/>
        <v>0</v>
      </c>
      <c r="G142" s="660">
        <f t="shared" si="22"/>
        <v>0</v>
      </c>
      <c r="H142" s="130">
        <f t="shared" si="13"/>
        <v>0</v>
      </c>
      <c r="I142" s="139">
        <f t="shared" si="14"/>
        <v>0</v>
      </c>
      <c r="J142" s="665">
        <f t="shared" si="23"/>
        <v>0</v>
      </c>
      <c r="K142" s="665"/>
      <c r="L142" s="132"/>
      <c r="M142" s="665">
        <f t="shared" si="24"/>
        <v>0</v>
      </c>
      <c r="N142" s="132"/>
      <c r="O142" s="665">
        <f t="shared" si="25"/>
        <v>0</v>
      </c>
      <c r="P142" s="665">
        <f t="shared" si="26"/>
        <v>0</v>
      </c>
    </row>
    <row r="143" spans="2:16">
      <c r="B143" s="9" t="str">
        <f t="shared" si="19"/>
        <v/>
      </c>
      <c r="C143" s="658">
        <f>IF(D93="","-",+C142+1)</f>
        <v>2066</v>
      </c>
      <c r="D143" s="659">
        <f>IF(F142+SUM(E$99:E142)=D$92,F142,D$92-SUM(E$99:E142))</f>
        <v>0</v>
      </c>
      <c r="E143" s="69">
        <f t="shared" si="20"/>
        <v>0</v>
      </c>
      <c r="F143" s="660">
        <f t="shared" si="21"/>
        <v>0</v>
      </c>
      <c r="G143" s="660">
        <f t="shared" si="22"/>
        <v>0</v>
      </c>
      <c r="H143" s="130">
        <f t="shared" si="13"/>
        <v>0</v>
      </c>
      <c r="I143" s="139">
        <f t="shared" si="14"/>
        <v>0</v>
      </c>
      <c r="J143" s="665">
        <f t="shared" si="23"/>
        <v>0</v>
      </c>
      <c r="K143" s="665"/>
      <c r="L143" s="132"/>
      <c r="M143" s="665">
        <f t="shared" si="24"/>
        <v>0</v>
      </c>
      <c r="N143" s="132"/>
      <c r="O143" s="665">
        <f t="shared" si="25"/>
        <v>0</v>
      </c>
      <c r="P143" s="665">
        <f t="shared" si="26"/>
        <v>0</v>
      </c>
    </row>
    <row r="144" spans="2:16">
      <c r="B144" s="9" t="str">
        <f t="shared" si="19"/>
        <v/>
      </c>
      <c r="C144" s="658">
        <f>IF(D93="","-",+C143+1)</f>
        <v>2067</v>
      </c>
      <c r="D144" s="659">
        <f>IF(F143+SUM(E$99:E143)=D$92,F143,D$92-SUM(E$99:E143))</f>
        <v>0</v>
      </c>
      <c r="E144" s="69">
        <f t="shared" si="20"/>
        <v>0</v>
      </c>
      <c r="F144" s="660">
        <f t="shared" si="21"/>
        <v>0</v>
      </c>
      <c r="G144" s="660">
        <f t="shared" si="22"/>
        <v>0</v>
      </c>
      <c r="H144" s="130">
        <f t="shared" si="13"/>
        <v>0</v>
      </c>
      <c r="I144" s="139">
        <f t="shared" si="14"/>
        <v>0</v>
      </c>
      <c r="J144" s="665">
        <f t="shared" si="23"/>
        <v>0</v>
      </c>
      <c r="K144" s="665"/>
      <c r="L144" s="132"/>
      <c r="M144" s="665">
        <f t="shared" si="24"/>
        <v>0</v>
      </c>
      <c r="N144" s="132"/>
      <c r="O144" s="665">
        <f t="shared" si="25"/>
        <v>0</v>
      </c>
      <c r="P144" s="665">
        <f t="shared" si="26"/>
        <v>0</v>
      </c>
    </row>
    <row r="145" spans="2:16">
      <c r="B145" s="9" t="str">
        <f t="shared" si="19"/>
        <v/>
      </c>
      <c r="C145" s="658">
        <f>IF(D93="","-",+C144+1)</f>
        <v>2068</v>
      </c>
      <c r="D145" s="659">
        <f>IF(F144+SUM(E$99:E144)=D$92,F144,D$92-SUM(E$99:E144))</f>
        <v>0</v>
      </c>
      <c r="E145" s="69">
        <f t="shared" si="20"/>
        <v>0</v>
      </c>
      <c r="F145" s="660">
        <f t="shared" si="21"/>
        <v>0</v>
      </c>
      <c r="G145" s="660">
        <f t="shared" si="22"/>
        <v>0</v>
      </c>
      <c r="H145" s="130">
        <f t="shared" si="13"/>
        <v>0</v>
      </c>
      <c r="I145" s="139">
        <f t="shared" si="14"/>
        <v>0</v>
      </c>
      <c r="J145" s="665">
        <f t="shared" si="23"/>
        <v>0</v>
      </c>
      <c r="K145" s="665"/>
      <c r="L145" s="132"/>
      <c r="M145" s="665">
        <f t="shared" si="24"/>
        <v>0</v>
      </c>
      <c r="N145" s="132"/>
      <c r="O145" s="665">
        <f t="shared" si="25"/>
        <v>0</v>
      </c>
      <c r="P145" s="665">
        <f t="shared" si="26"/>
        <v>0</v>
      </c>
    </row>
    <row r="146" spans="2:16">
      <c r="B146" s="9" t="str">
        <f t="shared" si="19"/>
        <v/>
      </c>
      <c r="C146" s="658">
        <f>IF(D93="","-",+C145+1)</f>
        <v>2069</v>
      </c>
      <c r="D146" s="659">
        <f>IF(F145+SUM(E$99:E145)=D$92,F145,D$92-SUM(E$99:E145))</f>
        <v>0</v>
      </c>
      <c r="E146" s="69">
        <f t="shared" si="20"/>
        <v>0</v>
      </c>
      <c r="F146" s="660">
        <f t="shared" si="21"/>
        <v>0</v>
      </c>
      <c r="G146" s="660">
        <f t="shared" si="22"/>
        <v>0</v>
      </c>
      <c r="H146" s="130">
        <f t="shared" si="13"/>
        <v>0</v>
      </c>
      <c r="I146" s="139">
        <f t="shared" si="14"/>
        <v>0</v>
      </c>
      <c r="J146" s="665">
        <f t="shared" si="23"/>
        <v>0</v>
      </c>
      <c r="K146" s="665"/>
      <c r="L146" s="132"/>
      <c r="M146" s="665">
        <f t="shared" si="24"/>
        <v>0</v>
      </c>
      <c r="N146" s="132"/>
      <c r="O146" s="665">
        <f t="shared" si="25"/>
        <v>0</v>
      </c>
      <c r="P146" s="665">
        <f t="shared" si="26"/>
        <v>0</v>
      </c>
    </row>
    <row r="147" spans="2:16">
      <c r="B147" s="9" t="str">
        <f t="shared" si="19"/>
        <v/>
      </c>
      <c r="C147" s="658">
        <f>IF(D93="","-",+C146+1)</f>
        <v>2070</v>
      </c>
      <c r="D147" s="659">
        <f>IF(F146+SUM(E$99:E146)=D$92,F146,D$92-SUM(E$99:E146))</f>
        <v>0</v>
      </c>
      <c r="E147" s="69">
        <f t="shared" si="20"/>
        <v>0</v>
      </c>
      <c r="F147" s="660">
        <f t="shared" si="21"/>
        <v>0</v>
      </c>
      <c r="G147" s="660">
        <f t="shared" si="22"/>
        <v>0</v>
      </c>
      <c r="H147" s="130">
        <f t="shared" si="13"/>
        <v>0</v>
      </c>
      <c r="I147" s="139">
        <f t="shared" si="14"/>
        <v>0</v>
      </c>
      <c r="J147" s="665">
        <f t="shared" si="23"/>
        <v>0</v>
      </c>
      <c r="K147" s="665"/>
      <c r="L147" s="132"/>
      <c r="M147" s="665">
        <f t="shared" si="24"/>
        <v>0</v>
      </c>
      <c r="N147" s="132"/>
      <c r="O147" s="665">
        <f t="shared" si="25"/>
        <v>0</v>
      </c>
      <c r="P147" s="665">
        <f t="shared" si="26"/>
        <v>0</v>
      </c>
    </row>
    <row r="148" spans="2:16">
      <c r="B148" s="9" t="str">
        <f t="shared" si="19"/>
        <v/>
      </c>
      <c r="C148" s="658">
        <f>IF(D93="","-",+C147+1)</f>
        <v>2071</v>
      </c>
      <c r="D148" s="659">
        <f>IF(F147+SUM(E$99:E147)=D$92,F147,D$92-SUM(E$99:E147))</f>
        <v>0</v>
      </c>
      <c r="E148" s="69">
        <f t="shared" si="20"/>
        <v>0</v>
      </c>
      <c r="F148" s="660">
        <f t="shared" si="21"/>
        <v>0</v>
      </c>
      <c r="G148" s="660">
        <f t="shared" si="22"/>
        <v>0</v>
      </c>
      <c r="H148" s="130">
        <f t="shared" si="13"/>
        <v>0</v>
      </c>
      <c r="I148" s="139">
        <f t="shared" si="14"/>
        <v>0</v>
      </c>
      <c r="J148" s="665">
        <f t="shared" si="23"/>
        <v>0</v>
      </c>
      <c r="K148" s="665"/>
      <c r="L148" s="132"/>
      <c r="M148" s="665">
        <f t="shared" si="24"/>
        <v>0</v>
      </c>
      <c r="N148" s="132"/>
      <c r="O148" s="665">
        <f t="shared" si="25"/>
        <v>0</v>
      </c>
      <c r="P148" s="665">
        <f t="shared" si="26"/>
        <v>0</v>
      </c>
    </row>
    <row r="149" spans="2:16">
      <c r="B149" s="9" t="str">
        <f t="shared" si="19"/>
        <v/>
      </c>
      <c r="C149" s="658">
        <f>IF(D93="","-",+C148+1)</f>
        <v>2072</v>
      </c>
      <c r="D149" s="659">
        <f>IF(F148+SUM(E$99:E148)=D$92,F148,D$92-SUM(E$99:E148))</f>
        <v>0</v>
      </c>
      <c r="E149" s="69">
        <f t="shared" si="20"/>
        <v>0</v>
      </c>
      <c r="F149" s="660">
        <f t="shared" si="21"/>
        <v>0</v>
      </c>
      <c r="G149" s="660">
        <f t="shared" si="22"/>
        <v>0</v>
      </c>
      <c r="H149" s="130">
        <f t="shared" si="13"/>
        <v>0</v>
      </c>
      <c r="I149" s="139">
        <f t="shared" si="14"/>
        <v>0</v>
      </c>
      <c r="J149" s="665">
        <f t="shared" si="23"/>
        <v>0</v>
      </c>
      <c r="K149" s="665"/>
      <c r="L149" s="132"/>
      <c r="M149" s="665">
        <f t="shared" si="24"/>
        <v>0</v>
      </c>
      <c r="N149" s="132"/>
      <c r="O149" s="665">
        <f t="shared" si="25"/>
        <v>0</v>
      </c>
      <c r="P149" s="665">
        <f t="shared" si="26"/>
        <v>0</v>
      </c>
    </row>
    <row r="150" spans="2:16">
      <c r="B150" s="9" t="str">
        <f t="shared" si="19"/>
        <v/>
      </c>
      <c r="C150" s="658">
        <f>IF(D93="","-",+C149+1)</f>
        <v>2073</v>
      </c>
      <c r="D150" s="659">
        <f>IF(F149+SUM(E$99:E149)=D$92,F149,D$92-SUM(E$99:E149))</f>
        <v>0</v>
      </c>
      <c r="E150" s="69">
        <f t="shared" si="20"/>
        <v>0</v>
      </c>
      <c r="F150" s="660">
        <f t="shared" si="21"/>
        <v>0</v>
      </c>
      <c r="G150" s="660">
        <f t="shared" si="22"/>
        <v>0</v>
      </c>
      <c r="H150" s="130">
        <f t="shared" si="13"/>
        <v>0</v>
      </c>
      <c r="I150" s="139">
        <f t="shared" si="14"/>
        <v>0</v>
      </c>
      <c r="J150" s="665">
        <f t="shared" si="23"/>
        <v>0</v>
      </c>
      <c r="K150" s="665"/>
      <c r="L150" s="132"/>
      <c r="M150" s="665">
        <f t="shared" si="24"/>
        <v>0</v>
      </c>
      <c r="N150" s="132"/>
      <c r="O150" s="665">
        <f t="shared" si="25"/>
        <v>0</v>
      </c>
      <c r="P150" s="665">
        <f t="shared" si="26"/>
        <v>0</v>
      </c>
    </row>
    <row r="151" spans="2:16">
      <c r="B151" s="9" t="str">
        <f t="shared" si="19"/>
        <v/>
      </c>
      <c r="C151" s="658">
        <f>IF(D93="","-",+C150+1)</f>
        <v>2074</v>
      </c>
      <c r="D151" s="659">
        <f>IF(F150+SUM(E$99:E150)=D$92,F150,D$92-SUM(E$99:E150))</f>
        <v>0</v>
      </c>
      <c r="E151" s="69">
        <f t="shared" si="20"/>
        <v>0</v>
      </c>
      <c r="F151" s="660">
        <f t="shared" si="21"/>
        <v>0</v>
      </c>
      <c r="G151" s="660">
        <f t="shared" si="22"/>
        <v>0</v>
      </c>
      <c r="H151" s="130">
        <f t="shared" si="13"/>
        <v>0</v>
      </c>
      <c r="I151" s="139">
        <f t="shared" si="14"/>
        <v>0</v>
      </c>
      <c r="J151" s="665">
        <f t="shared" si="23"/>
        <v>0</v>
      </c>
      <c r="K151" s="665"/>
      <c r="L151" s="132"/>
      <c r="M151" s="665">
        <f t="shared" si="24"/>
        <v>0</v>
      </c>
      <c r="N151" s="132"/>
      <c r="O151" s="665">
        <f t="shared" si="25"/>
        <v>0</v>
      </c>
      <c r="P151" s="665">
        <f t="shared" si="26"/>
        <v>0</v>
      </c>
    </row>
    <row r="152" spans="2:16">
      <c r="B152" s="9" t="str">
        <f t="shared" si="19"/>
        <v/>
      </c>
      <c r="C152" s="658">
        <f>IF(D93="","-",+C151+1)</f>
        <v>2075</v>
      </c>
      <c r="D152" s="659">
        <f>IF(F151+SUM(E$99:E151)=D$92,F151,D$92-SUM(E$99:E151))</f>
        <v>0</v>
      </c>
      <c r="E152" s="69">
        <f t="shared" si="20"/>
        <v>0</v>
      </c>
      <c r="F152" s="660">
        <f t="shared" si="21"/>
        <v>0</v>
      </c>
      <c r="G152" s="660">
        <f t="shared" si="22"/>
        <v>0</v>
      </c>
      <c r="H152" s="130">
        <f t="shared" si="13"/>
        <v>0</v>
      </c>
      <c r="I152" s="139">
        <f t="shared" si="14"/>
        <v>0</v>
      </c>
      <c r="J152" s="665">
        <f t="shared" si="23"/>
        <v>0</v>
      </c>
      <c r="K152" s="665"/>
      <c r="L152" s="132"/>
      <c r="M152" s="665">
        <f t="shared" si="24"/>
        <v>0</v>
      </c>
      <c r="N152" s="132"/>
      <c r="O152" s="665">
        <f t="shared" si="25"/>
        <v>0</v>
      </c>
      <c r="P152" s="665">
        <f t="shared" si="26"/>
        <v>0</v>
      </c>
    </row>
    <row r="153" spans="2:16">
      <c r="B153" s="9" t="str">
        <f t="shared" si="19"/>
        <v/>
      </c>
      <c r="C153" s="658">
        <f>IF(D93="","-",+C152+1)</f>
        <v>2076</v>
      </c>
      <c r="D153" s="659">
        <f>IF(F152+SUM(E$99:E152)=D$92,F152,D$92-SUM(E$99:E152))</f>
        <v>0</v>
      </c>
      <c r="E153" s="69">
        <f t="shared" si="20"/>
        <v>0</v>
      </c>
      <c r="F153" s="660">
        <f t="shared" si="21"/>
        <v>0</v>
      </c>
      <c r="G153" s="660">
        <f t="shared" si="22"/>
        <v>0</v>
      </c>
      <c r="H153" s="130">
        <f t="shared" si="13"/>
        <v>0</v>
      </c>
      <c r="I153" s="139">
        <f t="shared" si="14"/>
        <v>0</v>
      </c>
      <c r="J153" s="665">
        <f t="shared" si="23"/>
        <v>0</v>
      </c>
      <c r="K153" s="665"/>
      <c r="L153" s="132"/>
      <c r="M153" s="665">
        <f t="shared" si="24"/>
        <v>0</v>
      </c>
      <c r="N153" s="132"/>
      <c r="O153" s="665">
        <f t="shared" si="25"/>
        <v>0</v>
      </c>
      <c r="P153" s="665">
        <f t="shared" si="26"/>
        <v>0</v>
      </c>
    </row>
    <row r="154" spans="2:16" ht="13" thickBot="1">
      <c r="B154" s="9" t="str">
        <f t="shared" si="19"/>
        <v/>
      </c>
      <c r="C154" s="667">
        <f>IF(D93="","-",+C153+1)</f>
        <v>2077</v>
      </c>
      <c r="D154" s="692">
        <f>IF(F153+SUM(E$99:E153)=D$92,F153,D$92-SUM(E$99:E153))</f>
        <v>0</v>
      </c>
      <c r="E154" s="74">
        <f t="shared" si="20"/>
        <v>0</v>
      </c>
      <c r="F154" s="668">
        <f t="shared" si="21"/>
        <v>0</v>
      </c>
      <c r="G154" s="668">
        <f t="shared" si="22"/>
        <v>0</v>
      </c>
      <c r="H154" s="140">
        <f t="shared" si="13"/>
        <v>0</v>
      </c>
      <c r="I154" s="141">
        <f t="shared" si="14"/>
        <v>0</v>
      </c>
      <c r="J154" s="671">
        <f t="shared" si="23"/>
        <v>0</v>
      </c>
      <c r="K154" s="665"/>
      <c r="L154" s="133"/>
      <c r="M154" s="671">
        <f t="shared" si="24"/>
        <v>0</v>
      </c>
      <c r="N154" s="133"/>
      <c r="O154" s="671">
        <f t="shared" si="25"/>
        <v>0</v>
      </c>
      <c r="P154" s="671">
        <f t="shared" si="26"/>
        <v>0</v>
      </c>
    </row>
    <row r="155" spans="2:16">
      <c r="C155" s="659" t="s">
        <v>77</v>
      </c>
      <c r="D155" s="638"/>
      <c r="E155" s="638">
        <f>SUM(E99:E154)</f>
        <v>70967.7</v>
      </c>
      <c r="F155" s="638"/>
      <c r="G155" s="638"/>
      <c r="H155" s="638">
        <f>SUM(H99:H154)</f>
        <v>235439.52877117554</v>
      </c>
      <c r="I155" s="638">
        <f>SUM(I99:I154)</f>
        <v>235439.52877117554</v>
      </c>
      <c r="J155" s="638">
        <f>SUM(J99:J154)</f>
        <v>0</v>
      </c>
      <c r="K155" s="638"/>
      <c r="L155" s="638"/>
      <c r="M155" s="638"/>
      <c r="N155" s="638"/>
      <c r="O155" s="638"/>
      <c r="P155" s="631"/>
    </row>
    <row r="156" spans="2:16">
      <c r="C156" t="s">
        <v>100</v>
      </c>
      <c r="D156" s="632"/>
      <c r="E156" s="631"/>
      <c r="F156" s="631"/>
      <c r="G156" s="631"/>
      <c r="H156" s="631"/>
      <c r="I156" s="634"/>
      <c r="J156" s="634"/>
      <c r="K156" s="638"/>
      <c r="L156" s="634"/>
      <c r="M156" s="634"/>
      <c r="N156" s="634"/>
      <c r="O156" s="634"/>
      <c r="P156" s="631"/>
    </row>
    <row r="157" spans="2:16">
      <c r="C157" s="99"/>
      <c r="D157" s="632"/>
      <c r="E157" s="631"/>
      <c r="F157" s="631"/>
      <c r="G157" s="631"/>
      <c r="H157" s="631"/>
      <c r="I157" s="634"/>
      <c r="J157" s="634"/>
      <c r="K157" s="638"/>
      <c r="L157" s="634"/>
      <c r="M157" s="634"/>
      <c r="N157" s="634"/>
      <c r="O157" s="634"/>
      <c r="P157" s="631"/>
    </row>
    <row r="158" spans="2:16" ht="13">
      <c r="C158" s="115" t="s">
        <v>148</v>
      </c>
      <c r="D158" s="632"/>
      <c r="E158" s="631"/>
      <c r="F158" s="631"/>
      <c r="G158" s="631"/>
      <c r="H158" s="631"/>
      <c r="I158" s="634"/>
      <c r="J158" s="634"/>
      <c r="K158" s="638"/>
      <c r="L158" s="634"/>
      <c r="M158" s="634"/>
      <c r="N158" s="634"/>
      <c r="O158" s="634"/>
      <c r="P158" s="631"/>
    </row>
    <row r="159" spans="2:16" ht="13">
      <c r="C159" s="641" t="s">
        <v>78</v>
      </c>
      <c r="D159" s="659"/>
      <c r="E159" s="659"/>
      <c r="F159" s="659"/>
      <c r="G159" s="659"/>
      <c r="H159" s="638"/>
      <c r="I159" s="638"/>
      <c r="J159" s="672"/>
      <c r="K159" s="672"/>
      <c r="L159" s="672"/>
      <c r="M159" s="672"/>
      <c r="N159" s="672"/>
      <c r="O159" s="672"/>
      <c r="P159" s="631"/>
    </row>
    <row r="160" spans="2:16" ht="13">
      <c r="C160" s="693" t="s">
        <v>79</v>
      </c>
      <c r="D160" s="659"/>
      <c r="E160" s="659"/>
      <c r="F160" s="659"/>
      <c r="G160" s="659"/>
      <c r="H160" s="638"/>
      <c r="I160" s="638"/>
      <c r="J160" s="672"/>
      <c r="K160" s="672"/>
      <c r="L160" s="672"/>
      <c r="M160" s="672"/>
      <c r="N160" s="672"/>
      <c r="O160" s="672"/>
      <c r="P160" s="631"/>
    </row>
    <row r="161" spans="3:16" ht="13">
      <c r="C161" s="693"/>
      <c r="D161" s="659"/>
      <c r="E161" s="659"/>
      <c r="F161" s="659"/>
      <c r="G161" s="659"/>
      <c r="H161" s="638"/>
      <c r="I161" s="638"/>
      <c r="J161" s="672"/>
      <c r="K161" s="672"/>
      <c r="L161" s="672"/>
      <c r="M161" s="672"/>
      <c r="N161" s="672"/>
      <c r="O161" s="672"/>
      <c r="P161" s="631"/>
    </row>
    <row r="162" spans="3:16" ht="17.5">
      <c r="C162" s="693"/>
      <c r="D162" s="659"/>
      <c r="E162" s="659"/>
      <c r="F162" s="659"/>
      <c r="G162" s="659"/>
      <c r="H162" s="638"/>
      <c r="I162" s="638"/>
      <c r="J162" s="672"/>
      <c r="K162" s="672"/>
      <c r="L162" s="672"/>
      <c r="M162" s="672"/>
      <c r="N162" s="672"/>
      <c r="P162" s="694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4" header="0.25" footer="0.5"/>
  <pageSetup scale="47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58"/>
  <dimension ref="A1:P162"/>
  <sheetViews>
    <sheetView view="pageBreakPreview" zoomScale="78" zoomScaleNormal="100" zoomScaleSheetLayoutView="78" workbookViewId="0">
      <selection activeCell="I33" sqref="I33"/>
    </sheetView>
  </sheetViews>
  <sheetFormatPr defaultRowHeight="12.75" customHeight="1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31</v>
      </c>
    </row>
    <row r="2" spans="1:16" ht="17.5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6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.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279</v>
      </c>
      <c r="L5" s="24"/>
      <c r="M5" s="25"/>
      <c r="N5" s="26">
        <f>VLOOKUP(I10,C17:I72,5)</f>
        <v>0</v>
      </c>
      <c r="P5" s="1"/>
    </row>
    <row r="6" spans="1:16" ht="15.5">
      <c r="C6" s="8"/>
      <c r="D6" s="2"/>
      <c r="E6" s="1"/>
      <c r="F6" s="1"/>
      <c r="G6" s="1"/>
      <c r="H6" s="27"/>
      <c r="I6" s="27"/>
      <c r="J6" s="28"/>
      <c r="K6" s="29" t="s">
        <v>280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 ht="13">
      <c r="C10" s="145" t="s">
        <v>226</v>
      </c>
      <c r="D10" s="43"/>
      <c r="E10" s="12" t="s">
        <v>51</v>
      </c>
      <c r="F10" s="42"/>
      <c r="G10" s="44"/>
      <c r="H10" s="44"/>
      <c r="I10" s="45">
        <f>+'PSO.WS.F.BPU.ATRR.Projected'!L19</f>
        <v>2023</v>
      </c>
      <c r="J10" s="41"/>
      <c r="K10" s="20" t="s">
        <v>52</v>
      </c>
      <c r="O10" s="4"/>
      <c r="P10" s="4"/>
    </row>
    <row r="11" spans="1:16" ht="12.5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 ht="12.5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'PSO.WS.F.BPU.ATRR.Projected'!$F$81</f>
        <v>0.11935895065679607</v>
      </c>
      <c r="J12" s="51"/>
      <c r="K12" t="s">
        <v>57</v>
      </c>
      <c r="O12" s="4"/>
      <c r="P12" s="4"/>
    </row>
    <row r="13" spans="1:16" ht="12.5">
      <c r="C13" s="46" t="s">
        <v>58</v>
      </c>
      <c r="D13" s="48">
        <f>+'PSO.WS.F.BPU.ATRR.Projected'!F$93</f>
        <v>39</v>
      </c>
      <c r="E13" s="46" t="s">
        <v>59</v>
      </c>
      <c r="F13" s="44"/>
      <c r="G13" s="7"/>
      <c r="H13" s="7"/>
      <c r="I13" s="50">
        <f>IF(G5="",I12,'PSO.WS.F.BPU.ATRR.Projected'!$F$80)</f>
        <v>0.11935895065679607</v>
      </c>
      <c r="J13" s="51"/>
      <c r="K13" s="20" t="s">
        <v>60</v>
      </c>
      <c r="L13" s="11"/>
      <c r="M13" s="11"/>
      <c r="N13" s="11"/>
      <c r="O13" s="4"/>
      <c r="P13" s="4"/>
    </row>
    <row r="14" spans="1:16" ht="13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9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281</v>
      </c>
      <c r="H15" s="143" t="s">
        <v>282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 ht="12.5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 ht="12.5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 ht="12.5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 ht="12.5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 ht="12.5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 ht="12.5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 ht="12.5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 ht="12.5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 ht="12.5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 ht="12.5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 ht="12.5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 ht="12.5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 ht="12.5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 ht="12.5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 ht="12.5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 ht="12.5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 ht="12.5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 ht="12.5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 ht="12.5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 ht="12.5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 ht="12.5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 ht="12.5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 ht="12.5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 ht="12.5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 ht="12.5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 ht="12.5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 ht="12.5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 ht="12.5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 ht="12.5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 ht="12.5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 ht="12.5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 ht="12.5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 ht="12.5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 ht="12.5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 ht="12.5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 ht="12.5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 ht="12.5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 ht="12.5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 ht="12.5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 ht="12.5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 ht="12.5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 ht="12.5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 ht="12.5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 ht="12.5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 ht="12.5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 ht="12.5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 ht="12.5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 ht="12.5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 ht="12.5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 ht="12.5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 ht="12.5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 ht="12.5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 ht="12.5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 ht="12.5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 ht="12.5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 ht="12.5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 ht="12.5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 ht="13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 ht="13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 ht="13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 ht="13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 ht="12.5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7.5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 ht="12.5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 ht="12.5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31</v>
      </c>
    </row>
    <row r="84" spans="1:16" ht="17.5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7.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6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2023</v>
      </c>
      <c r="M86" s="119" t="s">
        <v>8</v>
      </c>
      <c r="N86" s="120" t="s">
        <v>153</v>
      </c>
      <c r="O86" s="121" t="s">
        <v>10</v>
      </c>
      <c r="P86" s="1"/>
    </row>
    <row r="87" spans="1:16" ht="15.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 ht="13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2023</v>
      </c>
      <c r="K92" s="41"/>
      <c r="L92" s="20" t="s">
        <v>95</v>
      </c>
      <c r="P92" s="4"/>
    </row>
    <row r="93" spans="1:16" ht="12.5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 ht="12.5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0.11422705305545768</v>
      </c>
      <c r="K94" s="51"/>
      <c r="L94" t="s">
        <v>96</v>
      </c>
      <c r="P94" s="4"/>
    </row>
    <row r="95" spans="1:16" ht="12.5">
      <c r="C95" s="46" t="s">
        <v>58</v>
      </c>
      <c r="D95" s="48">
        <f>'PSO.WS.G.BPU.ATRR.True-up'!F$93</f>
        <v>38</v>
      </c>
      <c r="E95" s="46" t="s">
        <v>59</v>
      </c>
      <c r="F95" s="44"/>
      <c r="G95" s="44"/>
      <c r="J95" s="50">
        <f>IF(H87="",J94,'PSO.WS.G.BPU.ATRR.True-up'!$F$80)</f>
        <v>0.11422705305545768</v>
      </c>
      <c r="K95" s="11"/>
      <c r="L95" s="20" t="s">
        <v>60</v>
      </c>
      <c r="M95" s="11"/>
      <c r="N95" s="11"/>
      <c r="O95" s="11"/>
      <c r="P95" s="4"/>
    </row>
    <row r="96" spans="1:16" ht="13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9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281</v>
      </c>
      <c r="I97" s="135" t="s">
        <v>282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 ht="12.5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 ht="12.5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 ht="12.5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 ht="12.5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 ht="12.5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 ht="12.5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 ht="12.5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 ht="12.5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 ht="12.5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 ht="12.5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 ht="12.5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 ht="12.5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 ht="12.5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 ht="12.5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 ht="12.5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 ht="12.5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 ht="12.5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 ht="12.5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 ht="12.5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 ht="12.5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 ht="12.5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 ht="12.5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 ht="12.5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 ht="12.5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 ht="12.5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 ht="12.5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 ht="12.5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 ht="12.5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 ht="12.5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 ht="12.5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 ht="12.5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 ht="12.5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 ht="12.5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 ht="12.5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 ht="12.5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 ht="12.5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 ht="12.5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 ht="12.5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 ht="12.5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 ht="12.5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 ht="12.5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 ht="12.5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 ht="12.5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 ht="12.5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 ht="12.5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 ht="12.5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 ht="12.5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 ht="12.5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 ht="12.5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 ht="12.5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 ht="12.5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 ht="12.5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 ht="12.5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 ht="12.5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 ht="12.5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 ht="12.5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 ht="12.5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 ht="12.5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 ht="13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 ht="13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 ht="13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 ht="13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7.5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9"/>
  <dimension ref="A1:P162"/>
  <sheetViews>
    <sheetView zoomScaleNormal="100" zoomScaleSheetLayoutView="80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179687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1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 t="str">
        <f>RIGHT(N3,3)</f>
        <v/>
      </c>
      <c r="P3" s="41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97046.160151699252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97046.160151699252</v>
      </c>
      <c r="O6" s="231"/>
      <c r="P6" s="231"/>
    </row>
    <row r="7" spans="1:16" ht="13.5" thickBot="1">
      <c r="C7" s="429" t="s">
        <v>46</v>
      </c>
      <c r="D7" s="430" t="s">
        <v>209</v>
      </c>
      <c r="E7" s="330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49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893858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2009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IF(D10=0,0,ROUND(D10/D13,0))</f>
        <v>22919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C17" s="470">
        <f>IF(D11= "","-",D11)</f>
        <v>2009</v>
      </c>
      <c r="D17" s="471">
        <v>579098</v>
      </c>
      <c r="E17" s="472">
        <v>5463</v>
      </c>
      <c r="F17" s="471">
        <v>573635</v>
      </c>
      <c r="G17" s="472">
        <v>56729</v>
      </c>
      <c r="H17" s="472">
        <v>56729</v>
      </c>
      <c r="I17" s="473">
        <f t="shared" ref="I17:I48" si="0">H17-G17</f>
        <v>0</v>
      </c>
      <c r="J17" s="473"/>
      <c r="K17" s="474">
        <v>56729</v>
      </c>
      <c r="L17" s="475">
        <f t="shared" ref="L17:L48" si="1">IF(K17&lt;&gt;0,+G17-K17,0)</f>
        <v>0</v>
      </c>
      <c r="M17" s="474">
        <v>56729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2010</v>
      </c>
      <c r="D18" s="477">
        <v>888395</v>
      </c>
      <c r="E18" s="478">
        <v>15962</v>
      </c>
      <c r="F18" s="477">
        <v>872433</v>
      </c>
      <c r="G18" s="478">
        <v>141851</v>
      </c>
      <c r="H18" s="479">
        <v>141851</v>
      </c>
      <c r="I18" s="473">
        <f t="shared" si="0"/>
        <v>0</v>
      </c>
      <c r="J18" s="473"/>
      <c r="K18" s="474">
        <f t="shared" ref="K18:K23" si="4">G18</f>
        <v>141851</v>
      </c>
      <c r="L18" s="476">
        <f t="shared" si="1"/>
        <v>0</v>
      </c>
      <c r="M18" s="474">
        <f t="shared" ref="M18:M23" si="5">H18</f>
        <v>141851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/>
      </c>
      <c r="C19" s="470">
        <f>IF(D11="","-",+C18+1)</f>
        <v>2011</v>
      </c>
      <c r="D19" s="477">
        <v>872433</v>
      </c>
      <c r="E19" s="478">
        <v>17527</v>
      </c>
      <c r="F19" s="477">
        <v>854906</v>
      </c>
      <c r="G19" s="478">
        <v>151356.84230707804</v>
      </c>
      <c r="H19" s="479">
        <v>151356.84230707804</v>
      </c>
      <c r="I19" s="473">
        <f t="shared" si="0"/>
        <v>0</v>
      </c>
      <c r="J19" s="473"/>
      <c r="K19" s="474">
        <f t="shared" si="4"/>
        <v>151356.84230707804</v>
      </c>
      <c r="L19" s="476">
        <f t="shared" si="1"/>
        <v>0</v>
      </c>
      <c r="M19" s="474">
        <f t="shared" si="5"/>
        <v>151356.84230707804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6">IF(D20=F19,"","IU")</f>
        <v/>
      </c>
      <c r="C20" s="480">
        <f>IF(D11="","-",+C19+1)</f>
        <v>2012</v>
      </c>
      <c r="D20" s="477">
        <v>854906</v>
      </c>
      <c r="E20" s="478">
        <v>17190</v>
      </c>
      <c r="F20" s="477">
        <v>837716</v>
      </c>
      <c r="G20" s="478">
        <v>133805.70830730975</v>
      </c>
      <c r="H20" s="479">
        <v>133805.70830730975</v>
      </c>
      <c r="I20" s="473">
        <f t="shared" si="0"/>
        <v>0</v>
      </c>
      <c r="J20" s="473"/>
      <c r="K20" s="474">
        <f t="shared" si="4"/>
        <v>133805.70830730975</v>
      </c>
      <c r="L20" s="476">
        <f t="shared" si="1"/>
        <v>0</v>
      </c>
      <c r="M20" s="474">
        <f t="shared" si="5"/>
        <v>133805.70830730975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6"/>
        <v/>
      </c>
      <c r="C21" s="480">
        <f>IF(D12="","-",+C20+1)</f>
        <v>2013</v>
      </c>
      <c r="D21" s="477">
        <v>837716</v>
      </c>
      <c r="E21" s="478">
        <v>17190</v>
      </c>
      <c r="F21" s="477">
        <v>820526</v>
      </c>
      <c r="G21" s="478">
        <v>134366.65985215519</v>
      </c>
      <c r="H21" s="479">
        <v>134366.65985215519</v>
      </c>
      <c r="I21" s="473">
        <v>0</v>
      </c>
      <c r="J21" s="473"/>
      <c r="K21" s="474">
        <f t="shared" si="4"/>
        <v>134366.65985215519</v>
      </c>
      <c r="L21" s="476">
        <f t="shared" ref="L21:L26" si="7">IF(K21&lt;&gt;0,+G21-K21,0)</f>
        <v>0</v>
      </c>
      <c r="M21" s="474">
        <f t="shared" si="5"/>
        <v>134366.65985215519</v>
      </c>
      <c r="N21" s="476">
        <f t="shared" ref="N21:N26" si="8">IF(M21&lt;&gt;0,+H21-M21,0)</f>
        <v>0</v>
      </c>
      <c r="O21" s="476">
        <f t="shared" ref="O21:O26" si="9">+N21-L21</f>
        <v>0</v>
      </c>
      <c r="P21" s="241"/>
    </row>
    <row r="22" spans="2:16" ht="12.5">
      <c r="B22" s="160" t="str">
        <f t="shared" si="6"/>
        <v/>
      </c>
      <c r="C22" s="470">
        <f>IF(D11="","-",+C21+1)</f>
        <v>2014</v>
      </c>
      <c r="D22" s="477">
        <v>820526</v>
      </c>
      <c r="E22" s="478">
        <v>17190</v>
      </c>
      <c r="F22" s="477">
        <v>803336</v>
      </c>
      <c r="G22" s="478">
        <v>127776.24380165605</v>
      </c>
      <c r="H22" s="479">
        <v>127776.24380165605</v>
      </c>
      <c r="I22" s="473">
        <v>0</v>
      </c>
      <c r="J22" s="473"/>
      <c r="K22" s="474">
        <f t="shared" si="4"/>
        <v>127776.24380165605</v>
      </c>
      <c r="L22" s="476">
        <f t="shared" si="7"/>
        <v>0</v>
      </c>
      <c r="M22" s="474">
        <f t="shared" si="5"/>
        <v>127776.24380165605</v>
      </c>
      <c r="N22" s="476">
        <f t="shared" si="8"/>
        <v>0</v>
      </c>
      <c r="O22" s="476">
        <f t="shared" si="9"/>
        <v>0</v>
      </c>
      <c r="P22" s="241"/>
    </row>
    <row r="23" spans="2:16" ht="12.5">
      <c r="B23" s="160" t="str">
        <f t="shared" si="6"/>
        <v/>
      </c>
      <c r="C23" s="470">
        <f>IF(D11="","-",+C22+1)</f>
        <v>2015</v>
      </c>
      <c r="D23" s="477">
        <v>803336</v>
      </c>
      <c r="E23" s="478">
        <v>17190</v>
      </c>
      <c r="F23" s="477">
        <v>786146</v>
      </c>
      <c r="G23" s="478">
        <v>125577.25148028173</v>
      </c>
      <c r="H23" s="479">
        <v>125577.25148028173</v>
      </c>
      <c r="I23" s="473">
        <v>0</v>
      </c>
      <c r="J23" s="473"/>
      <c r="K23" s="474">
        <f t="shared" si="4"/>
        <v>125577.25148028173</v>
      </c>
      <c r="L23" s="476">
        <f t="shared" si="7"/>
        <v>0</v>
      </c>
      <c r="M23" s="474">
        <f t="shared" si="5"/>
        <v>125577.25148028173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2016</v>
      </c>
      <c r="D24" s="477">
        <v>786146</v>
      </c>
      <c r="E24" s="478">
        <v>17190</v>
      </c>
      <c r="F24" s="477">
        <v>768956</v>
      </c>
      <c r="G24" s="478">
        <v>118045.98754263212</v>
      </c>
      <c r="H24" s="479">
        <v>118045.98754263212</v>
      </c>
      <c r="I24" s="473">
        <f t="shared" si="0"/>
        <v>0</v>
      </c>
      <c r="J24" s="473"/>
      <c r="K24" s="474">
        <f t="shared" ref="K24:K29" si="10">G24</f>
        <v>118045.98754263212</v>
      </c>
      <c r="L24" s="476">
        <f t="shared" si="7"/>
        <v>0</v>
      </c>
      <c r="M24" s="474">
        <f t="shared" ref="M24:M29" si="11">H24</f>
        <v>118045.98754263212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6"/>
        <v/>
      </c>
      <c r="C25" s="470">
        <f>IF(D11="","-",+C24+1)</f>
        <v>2017</v>
      </c>
      <c r="D25" s="477">
        <v>768956</v>
      </c>
      <c r="E25" s="478">
        <v>19432</v>
      </c>
      <c r="F25" s="477">
        <v>749524</v>
      </c>
      <c r="G25" s="478">
        <v>114816.91495996526</v>
      </c>
      <c r="H25" s="479">
        <v>114816.91495996526</v>
      </c>
      <c r="I25" s="473">
        <f t="shared" si="0"/>
        <v>0</v>
      </c>
      <c r="J25" s="473"/>
      <c r="K25" s="474">
        <f t="shared" si="10"/>
        <v>114816.91495996526</v>
      </c>
      <c r="L25" s="476">
        <f t="shared" si="7"/>
        <v>0</v>
      </c>
      <c r="M25" s="474">
        <f t="shared" si="11"/>
        <v>114816.91495996526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2018</v>
      </c>
      <c r="D26" s="477">
        <v>749524</v>
      </c>
      <c r="E26" s="478">
        <v>19864</v>
      </c>
      <c r="F26" s="477">
        <v>729660</v>
      </c>
      <c r="G26" s="478">
        <v>108436.75447594153</v>
      </c>
      <c r="H26" s="479">
        <v>108436.75447594153</v>
      </c>
      <c r="I26" s="473">
        <f t="shared" si="0"/>
        <v>0</v>
      </c>
      <c r="J26" s="473"/>
      <c r="K26" s="474">
        <f t="shared" si="10"/>
        <v>108436.75447594153</v>
      </c>
      <c r="L26" s="476">
        <f t="shared" si="7"/>
        <v>0</v>
      </c>
      <c r="M26" s="474">
        <f t="shared" si="11"/>
        <v>108436.75447594153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6"/>
        <v/>
      </c>
      <c r="C27" s="470">
        <f>IF(D11="","-",+C26+1)</f>
        <v>2019</v>
      </c>
      <c r="D27" s="477">
        <v>729660</v>
      </c>
      <c r="E27" s="478">
        <v>22346</v>
      </c>
      <c r="F27" s="477">
        <v>707314</v>
      </c>
      <c r="G27" s="478">
        <v>102569.83805108386</v>
      </c>
      <c r="H27" s="479">
        <v>102569.83805108386</v>
      </c>
      <c r="I27" s="473">
        <f t="shared" si="0"/>
        <v>0</v>
      </c>
      <c r="J27" s="473"/>
      <c r="K27" s="474">
        <f t="shared" si="10"/>
        <v>102569.83805108386</v>
      </c>
      <c r="L27" s="476">
        <f t="shared" ref="L27" si="12">IF(K27&lt;&gt;0,+G27-K27,0)</f>
        <v>0</v>
      </c>
      <c r="M27" s="474">
        <f t="shared" si="11"/>
        <v>102569.83805108386</v>
      </c>
      <c r="N27" s="476">
        <f t="shared" ref="N27" si="13">IF(M27&lt;&gt;0,+H27-M27,0)</f>
        <v>0</v>
      </c>
      <c r="O27" s="476">
        <f t="shared" ref="O27" si="14">+N27-L27</f>
        <v>0</v>
      </c>
      <c r="P27" s="241"/>
    </row>
    <row r="28" spans="2:16" ht="12.5">
      <c r="B28" s="160" t="str">
        <f t="shared" si="6"/>
        <v>IU</v>
      </c>
      <c r="C28" s="470">
        <f>IF(D11="","-",+C27+1)</f>
        <v>2020</v>
      </c>
      <c r="D28" s="477">
        <v>709796</v>
      </c>
      <c r="E28" s="478">
        <v>21282</v>
      </c>
      <c r="F28" s="477">
        <v>688514</v>
      </c>
      <c r="G28" s="478">
        <v>96794.079800478314</v>
      </c>
      <c r="H28" s="479">
        <v>96794.079800478314</v>
      </c>
      <c r="I28" s="473">
        <f t="shared" si="0"/>
        <v>0</v>
      </c>
      <c r="J28" s="473"/>
      <c r="K28" s="474">
        <f t="shared" si="10"/>
        <v>96794.079800478314</v>
      </c>
      <c r="L28" s="476">
        <f t="shared" ref="L28" si="15">IF(K28&lt;&gt;0,+G28-K28,0)</f>
        <v>0</v>
      </c>
      <c r="M28" s="474">
        <f t="shared" si="11"/>
        <v>96794.079800478314</v>
      </c>
      <c r="N28" s="476">
        <f t="shared" si="2"/>
        <v>0</v>
      </c>
      <c r="O28" s="476">
        <f t="shared" si="3"/>
        <v>0</v>
      </c>
      <c r="P28" s="241"/>
    </row>
    <row r="29" spans="2:16" ht="12.5">
      <c r="B29" s="160" t="str">
        <f t="shared" si="6"/>
        <v>IU</v>
      </c>
      <c r="C29" s="470">
        <f>IF(D11="","-",+C28+1)</f>
        <v>2021</v>
      </c>
      <c r="D29" s="477">
        <v>686032</v>
      </c>
      <c r="E29" s="478">
        <v>20787</v>
      </c>
      <c r="F29" s="477">
        <v>665245</v>
      </c>
      <c r="G29" s="478">
        <v>92514.814817027102</v>
      </c>
      <c r="H29" s="479">
        <v>92514.814817027102</v>
      </c>
      <c r="I29" s="473">
        <f t="shared" si="0"/>
        <v>0</v>
      </c>
      <c r="J29" s="473"/>
      <c r="K29" s="474">
        <f t="shared" si="10"/>
        <v>92514.814817027102</v>
      </c>
      <c r="L29" s="476">
        <f t="shared" ref="L29" si="16">IF(K29&lt;&gt;0,+G29-K29,0)</f>
        <v>0</v>
      </c>
      <c r="M29" s="474">
        <f t="shared" si="11"/>
        <v>92514.814817027102</v>
      </c>
      <c r="N29" s="476">
        <f t="shared" si="2"/>
        <v>0</v>
      </c>
      <c r="O29" s="476">
        <f t="shared" si="3"/>
        <v>0</v>
      </c>
      <c r="P29" s="241"/>
    </row>
    <row r="30" spans="2:16" ht="12.5">
      <c r="B30" s="160" t="str">
        <f t="shared" si="6"/>
        <v/>
      </c>
      <c r="C30" s="470">
        <f>IF(D11="","-",+C29+1)</f>
        <v>2022</v>
      </c>
      <c r="D30" s="477">
        <v>665245</v>
      </c>
      <c r="E30" s="478">
        <v>21282</v>
      </c>
      <c r="F30" s="477">
        <v>643963</v>
      </c>
      <c r="G30" s="478">
        <v>90708.453283775307</v>
      </c>
      <c r="H30" s="479">
        <v>90708.453283775307</v>
      </c>
      <c r="I30" s="473">
        <f t="shared" si="0"/>
        <v>0</v>
      </c>
      <c r="J30" s="473"/>
      <c r="K30" s="474">
        <f t="shared" ref="K30" si="17">G30</f>
        <v>90708.453283775307</v>
      </c>
      <c r="L30" s="476">
        <f t="shared" ref="L30" si="18">IF(K30&lt;&gt;0,+G30-K30,0)</f>
        <v>0</v>
      </c>
      <c r="M30" s="474">
        <f t="shared" ref="M30" si="19">H30</f>
        <v>90708.453283775307</v>
      </c>
      <c r="N30" s="476">
        <f t="shared" si="2"/>
        <v>0</v>
      </c>
      <c r="O30" s="476">
        <f t="shared" si="3"/>
        <v>0</v>
      </c>
      <c r="P30" s="241"/>
    </row>
    <row r="31" spans="2:16" ht="12.5">
      <c r="B31" s="160" t="str">
        <f t="shared" si="6"/>
        <v/>
      </c>
      <c r="C31" s="470">
        <f>IF(D11="","-",+C30+1)</f>
        <v>2023</v>
      </c>
      <c r="D31" s="477">
        <v>643963</v>
      </c>
      <c r="E31" s="478">
        <v>22919</v>
      </c>
      <c r="F31" s="477">
        <v>621044</v>
      </c>
      <c r="G31" s="478">
        <v>97046.160151699252</v>
      </c>
      <c r="H31" s="479">
        <v>97046.160151699252</v>
      </c>
      <c r="I31" s="473">
        <f t="shared" si="0"/>
        <v>0</v>
      </c>
      <c r="J31" s="473"/>
      <c r="K31" s="474">
        <f t="shared" ref="K31" si="20">G31</f>
        <v>97046.160151699252</v>
      </c>
      <c r="L31" s="476">
        <f t="shared" ref="L31" si="21">IF(K31&lt;&gt;0,+G31-K31,0)</f>
        <v>0</v>
      </c>
      <c r="M31" s="474">
        <f t="shared" ref="M31" si="22">H31</f>
        <v>97046.160151699252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6"/>
        <v/>
      </c>
      <c r="C32" s="470">
        <f>IF(D11="","-",+C31+1)</f>
        <v>2024</v>
      </c>
      <c r="D32" s="481">
        <f>IF(F31+SUM(E$17:E31)=D$10,F31,D$10-SUM(E$17:E31))</f>
        <v>621044</v>
      </c>
      <c r="E32" s="482">
        <f>IF(+I14&lt;F31,I14,D32)</f>
        <v>22919</v>
      </c>
      <c r="F32" s="483">
        <f t="shared" ref="F32:F48" si="23">+D32-E32</f>
        <v>598125</v>
      </c>
      <c r="G32" s="484">
        <f t="shared" ref="G32:G72" si="24">(D32+F32)/2*I$12+E32</f>
        <v>95678.3662566477</v>
      </c>
      <c r="H32" s="453">
        <f t="shared" ref="H32:H72" si="25">+(D32+F32)/2*I$13+E32</f>
        <v>95678.3662566477</v>
      </c>
      <c r="I32" s="473">
        <f t="shared" si="0"/>
        <v>0</v>
      </c>
      <c r="J32" s="473"/>
      <c r="K32" s="485"/>
      <c r="L32" s="476">
        <f t="shared" si="1"/>
        <v>0</v>
      </c>
      <c r="M32" s="485"/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6"/>
        <v/>
      </c>
      <c r="C33" s="470">
        <f>IF(D11="","-",+C32+1)</f>
        <v>2025</v>
      </c>
      <c r="D33" s="481">
        <f>IF(F32+SUM(E$17:E32)=D$10,F32,D$10-SUM(E$17:E32))</f>
        <v>598125</v>
      </c>
      <c r="E33" s="482">
        <f>IF(+I14&lt;F32,I14,D33)</f>
        <v>22919</v>
      </c>
      <c r="F33" s="483">
        <f t="shared" si="23"/>
        <v>575206</v>
      </c>
      <c r="G33" s="484">
        <f t="shared" si="24"/>
        <v>92942.778466544594</v>
      </c>
      <c r="H33" s="453">
        <f t="shared" si="25"/>
        <v>92942.778466544594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6"/>
        <v/>
      </c>
      <c r="C34" s="470">
        <f>IF(D11="","-",+C33+1)</f>
        <v>2026</v>
      </c>
      <c r="D34" s="481">
        <f>IF(F33+SUM(E$17:E33)=D$10,F33,D$10-SUM(E$17:E33))</f>
        <v>575206</v>
      </c>
      <c r="E34" s="482">
        <f>IF(+I14&lt;F33,I14,D34)</f>
        <v>22919</v>
      </c>
      <c r="F34" s="483">
        <f t="shared" si="23"/>
        <v>552287</v>
      </c>
      <c r="G34" s="484">
        <f t="shared" si="24"/>
        <v>90207.190676441489</v>
      </c>
      <c r="H34" s="453">
        <f t="shared" si="25"/>
        <v>90207.190676441489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6"/>
        <v/>
      </c>
      <c r="C35" s="470">
        <f>IF(D11="","-",+C34+1)</f>
        <v>2027</v>
      </c>
      <c r="D35" s="481">
        <f>IF(F34+SUM(E$17:E34)=D$10,F34,D$10-SUM(E$17:E34))</f>
        <v>552287</v>
      </c>
      <c r="E35" s="482">
        <f>IF(+I14&lt;F34,I14,D35)</f>
        <v>22919</v>
      </c>
      <c r="F35" s="483">
        <f t="shared" si="23"/>
        <v>529368</v>
      </c>
      <c r="G35" s="484">
        <f t="shared" si="24"/>
        <v>87471.602886338369</v>
      </c>
      <c r="H35" s="453">
        <f t="shared" si="25"/>
        <v>87471.602886338369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6"/>
        <v/>
      </c>
      <c r="C36" s="470">
        <f>IF(D11="","-",+C35+1)</f>
        <v>2028</v>
      </c>
      <c r="D36" s="481">
        <f>IF(F35+SUM(E$17:E35)=D$10,F35,D$10-SUM(E$17:E35))</f>
        <v>529368</v>
      </c>
      <c r="E36" s="482">
        <f>IF(+I14&lt;F35,I14,D36)</f>
        <v>22919</v>
      </c>
      <c r="F36" s="483">
        <f t="shared" si="23"/>
        <v>506449</v>
      </c>
      <c r="G36" s="484">
        <f t="shared" si="24"/>
        <v>84736.015096235264</v>
      </c>
      <c r="H36" s="453">
        <f t="shared" si="25"/>
        <v>84736.015096235264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6"/>
        <v/>
      </c>
      <c r="C37" s="470">
        <f>IF(D11="","-",+C36+1)</f>
        <v>2029</v>
      </c>
      <c r="D37" s="481">
        <f>IF(F36+SUM(E$17:E36)=D$10,F36,D$10-SUM(E$17:E36))</f>
        <v>506449</v>
      </c>
      <c r="E37" s="482">
        <f>IF(+I14&lt;F36,I14,D37)</f>
        <v>22919</v>
      </c>
      <c r="F37" s="483">
        <f t="shared" si="23"/>
        <v>483530</v>
      </c>
      <c r="G37" s="484">
        <f t="shared" si="24"/>
        <v>82000.427306132158</v>
      </c>
      <c r="H37" s="453">
        <f t="shared" si="25"/>
        <v>82000.427306132158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6"/>
        <v/>
      </c>
      <c r="C38" s="470">
        <f>IF(D11="","-",+C37+1)</f>
        <v>2030</v>
      </c>
      <c r="D38" s="481">
        <f>IF(F37+SUM(E$17:E37)=D$10,F37,D$10-SUM(E$17:E37))</f>
        <v>483530</v>
      </c>
      <c r="E38" s="482">
        <f>IF(+I14&lt;F37,I14,D38)</f>
        <v>22919</v>
      </c>
      <c r="F38" s="483">
        <f t="shared" si="23"/>
        <v>460611</v>
      </c>
      <c r="G38" s="484">
        <f t="shared" si="24"/>
        <v>79264.839516029053</v>
      </c>
      <c r="H38" s="453">
        <f t="shared" si="25"/>
        <v>79264.839516029053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6"/>
        <v/>
      </c>
      <c r="C39" s="470">
        <f>IF(D11="","-",+C38+1)</f>
        <v>2031</v>
      </c>
      <c r="D39" s="481">
        <f>IF(F38+SUM(E$17:E38)=D$10,F38,D$10-SUM(E$17:E38))</f>
        <v>460611</v>
      </c>
      <c r="E39" s="482">
        <f>IF(+I14&lt;F38,I14,D39)</f>
        <v>22919</v>
      </c>
      <c r="F39" s="483">
        <f t="shared" si="23"/>
        <v>437692</v>
      </c>
      <c r="G39" s="484">
        <f t="shared" si="24"/>
        <v>76529.251725925948</v>
      </c>
      <c r="H39" s="453">
        <f t="shared" si="25"/>
        <v>76529.251725925948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6"/>
        <v/>
      </c>
      <c r="C40" s="470">
        <f>IF(D11="","-",+C39+1)</f>
        <v>2032</v>
      </c>
      <c r="D40" s="481">
        <f>IF(F39+SUM(E$17:E39)=D$10,F39,D$10-SUM(E$17:E39))</f>
        <v>437692</v>
      </c>
      <c r="E40" s="482">
        <f>IF(+I14&lt;F39,I14,D40)</f>
        <v>22919</v>
      </c>
      <c r="F40" s="483">
        <f t="shared" si="23"/>
        <v>414773</v>
      </c>
      <c r="G40" s="484">
        <f t="shared" si="24"/>
        <v>73793.663935822828</v>
      </c>
      <c r="H40" s="453">
        <f t="shared" si="25"/>
        <v>73793.663935822828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6"/>
        <v/>
      </c>
      <c r="C41" s="470">
        <f>IF(D11="","-",+C40+1)</f>
        <v>2033</v>
      </c>
      <c r="D41" s="481">
        <f>IF(F40+SUM(E$17:E40)=D$10,F40,D$10-SUM(E$17:E40))</f>
        <v>414773</v>
      </c>
      <c r="E41" s="482">
        <f>IF(+I14&lt;F40,I14,D41)</f>
        <v>22919</v>
      </c>
      <c r="F41" s="483">
        <f t="shared" si="23"/>
        <v>391854</v>
      </c>
      <c r="G41" s="484">
        <f t="shared" si="24"/>
        <v>71058.076145719722</v>
      </c>
      <c r="H41" s="453">
        <f t="shared" si="25"/>
        <v>71058.076145719722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6"/>
        <v/>
      </c>
      <c r="C42" s="470">
        <f>IF(D11="","-",+C41+1)</f>
        <v>2034</v>
      </c>
      <c r="D42" s="481">
        <f>IF(F41+SUM(E$17:E41)=D$10,F41,D$10-SUM(E$17:E41))</f>
        <v>391854</v>
      </c>
      <c r="E42" s="482">
        <f>IF(+I14&lt;F41,I14,D42)</f>
        <v>22919</v>
      </c>
      <c r="F42" s="483">
        <f t="shared" si="23"/>
        <v>368935</v>
      </c>
      <c r="G42" s="484">
        <f t="shared" si="24"/>
        <v>68322.488355616602</v>
      </c>
      <c r="H42" s="453">
        <f t="shared" si="25"/>
        <v>68322.488355616602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6"/>
        <v/>
      </c>
      <c r="C43" s="470">
        <f>IF(D11="","-",+C42+1)</f>
        <v>2035</v>
      </c>
      <c r="D43" s="481">
        <f>IF(F42+SUM(E$17:E42)=D$10,F42,D$10-SUM(E$17:E42))</f>
        <v>368935</v>
      </c>
      <c r="E43" s="482">
        <f>IF(+I14&lt;F42,I14,D43)</f>
        <v>22919</v>
      </c>
      <c r="F43" s="483">
        <f t="shared" si="23"/>
        <v>346016</v>
      </c>
      <c r="G43" s="484">
        <f t="shared" si="24"/>
        <v>65586.900565513497</v>
      </c>
      <c r="H43" s="453">
        <f t="shared" si="25"/>
        <v>65586.900565513497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6"/>
        <v/>
      </c>
      <c r="C44" s="470">
        <f>IF(D11="","-",+C43+1)</f>
        <v>2036</v>
      </c>
      <c r="D44" s="481">
        <f>IF(F43+SUM(E$17:E43)=D$10,F43,D$10-SUM(E$17:E43))</f>
        <v>346016</v>
      </c>
      <c r="E44" s="482">
        <f>IF(+I14&lt;F43,I14,D44)</f>
        <v>22919</v>
      </c>
      <c r="F44" s="483">
        <f t="shared" si="23"/>
        <v>323097</v>
      </c>
      <c r="G44" s="484">
        <f t="shared" si="24"/>
        <v>62851.312775410392</v>
      </c>
      <c r="H44" s="453">
        <f t="shared" si="25"/>
        <v>62851.312775410392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6"/>
        <v/>
      </c>
      <c r="C45" s="470">
        <f>IF(D11="","-",+C44+1)</f>
        <v>2037</v>
      </c>
      <c r="D45" s="481">
        <f>IF(F44+SUM(E$17:E44)=D$10,F44,D$10-SUM(E$17:E44))</f>
        <v>323097</v>
      </c>
      <c r="E45" s="482">
        <f>IF(+I14&lt;F44,I14,D45)</f>
        <v>22919</v>
      </c>
      <c r="F45" s="483">
        <f t="shared" si="23"/>
        <v>300178</v>
      </c>
      <c r="G45" s="484">
        <f t="shared" si="24"/>
        <v>60115.724985307286</v>
      </c>
      <c r="H45" s="453">
        <f t="shared" si="25"/>
        <v>60115.724985307286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6"/>
        <v/>
      </c>
      <c r="C46" s="470">
        <f>IF(D11="","-",+C45+1)</f>
        <v>2038</v>
      </c>
      <c r="D46" s="481">
        <f>IF(F45+SUM(E$17:E45)=D$10,F45,D$10-SUM(E$17:E45))</f>
        <v>300178</v>
      </c>
      <c r="E46" s="482">
        <f>IF(+I14&lt;F45,I14,D46)</f>
        <v>22919</v>
      </c>
      <c r="F46" s="483">
        <f t="shared" si="23"/>
        <v>277259</v>
      </c>
      <c r="G46" s="484">
        <f t="shared" si="24"/>
        <v>57380.137195204174</v>
      </c>
      <c r="H46" s="453">
        <f t="shared" si="25"/>
        <v>57380.137195204174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6"/>
        <v/>
      </c>
      <c r="C47" s="470">
        <f>IF(D11="","-",+C46+1)</f>
        <v>2039</v>
      </c>
      <c r="D47" s="481">
        <f>IF(F46+SUM(E$17:E46)=D$10,F46,D$10-SUM(E$17:E46))</f>
        <v>277259</v>
      </c>
      <c r="E47" s="482">
        <f>IF(+I14&lt;F46,I14,D47)</f>
        <v>22919</v>
      </c>
      <c r="F47" s="483">
        <f t="shared" si="23"/>
        <v>254340</v>
      </c>
      <c r="G47" s="484">
        <f t="shared" si="24"/>
        <v>54644.549405101061</v>
      </c>
      <c r="H47" s="453">
        <f t="shared" si="25"/>
        <v>54644.549405101061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6"/>
        <v/>
      </c>
      <c r="C48" s="470">
        <f>IF(D11="","-",+C47+1)</f>
        <v>2040</v>
      </c>
      <c r="D48" s="481">
        <f>IF(F47+SUM(E$17:E47)=D$10,F47,D$10-SUM(E$17:E47))</f>
        <v>254340</v>
      </c>
      <c r="E48" s="482">
        <f>IF(+I14&lt;F47,I14,D48)</f>
        <v>22919</v>
      </c>
      <c r="F48" s="483">
        <f t="shared" si="23"/>
        <v>231421</v>
      </c>
      <c r="G48" s="484">
        <f t="shared" si="24"/>
        <v>51908.961614997956</v>
      </c>
      <c r="H48" s="453">
        <f t="shared" si="25"/>
        <v>51908.961614997956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6"/>
        <v/>
      </c>
      <c r="C49" s="470">
        <f>IF(D11="","-",+C48+1)</f>
        <v>2041</v>
      </c>
      <c r="D49" s="481">
        <f>IF(F48+SUM(E$17:E48)=D$10,F48,D$10-SUM(E$17:E48))</f>
        <v>231421</v>
      </c>
      <c r="E49" s="482">
        <f>IF(+I14&lt;F48,I14,D49)</f>
        <v>22919</v>
      </c>
      <c r="F49" s="483">
        <f t="shared" ref="F49:F72" si="26">+D49-E49</f>
        <v>208502</v>
      </c>
      <c r="G49" s="484">
        <f t="shared" si="24"/>
        <v>49173.37382489485</v>
      </c>
      <c r="H49" s="453">
        <f t="shared" si="25"/>
        <v>49173.37382489485</v>
      </c>
      <c r="I49" s="473">
        <f t="shared" ref="I49:I72" si="27">H49-G49</f>
        <v>0</v>
      </c>
      <c r="J49" s="473"/>
      <c r="K49" s="485"/>
      <c r="L49" s="476">
        <f t="shared" ref="L49:L72" si="28">IF(K49&lt;&gt;0,+G49-K49,0)</f>
        <v>0</v>
      </c>
      <c r="M49" s="485"/>
      <c r="N49" s="476">
        <f t="shared" ref="N49:N72" si="29">IF(M49&lt;&gt;0,+H49-M49,0)</f>
        <v>0</v>
      </c>
      <c r="O49" s="476">
        <f t="shared" ref="O49:O72" si="30">+N49-L49</f>
        <v>0</v>
      </c>
      <c r="P49" s="241"/>
    </row>
    <row r="50" spans="2:16" ht="12.5">
      <c r="B50" s="160" t="str">
        <f t="shared" si="6"/>
        <v/>
      </c>
      <c r="C50" s="470">
        <f>IF(D11="","-",+C49+1)</f>
        <v>2042</v>
      </c>
      <c r="D50" s="481">
        <f>IF(F49+SUM(E$17:E49)=D$10,F49,D$10-SUM(E$17:E49))</f>
        <v>208502</v>
      </c>
      <c r="E50" s="482">
        <f>IF(+I14&lt;F49,I14,D50)</f>
        <v>22919</v>
      </c>
      <c r="F50" s="483">
        <f t="shared" si="26"/>
        <v>185583</v>
      </c>
      <c r="G50" s="484">
        <f t="shared" si="24"/>
        <v>46437.786034791738</v>
      </c>
      <c r="H50" s="453">
        <f t="shared" si="25"/>
        <v>46437.786034791738</v>
      </c>
      <c r="I50" s="473">
        <f t="shared" si="27"/>
        <v>0</v>
      </c>
      <c r="J50" s="473"/>
      <c r="K50" s="485"/>
      <c r="L50" s="476">
        <f t="shared" si="28"/>
        <v>0</v>
      </c>
      <c r="M50" s="485"/>
      <c r="N50" s="476">
        <f t="shared" si="29"/>
        <v>0</v>
      </c>
      <c r="O50" s="476">
        <f t="shared" si="30"/>
        <v>0</v>
      </c>
      <c r="P50" s="241"/>
    </row>
    <row r="51" spans="2:16" ht="12.5">
      <c r="B51" s="160" t="str">
        <f t="shared" si="6"/>
        <v/>
      </c>
      <c r="C51" s="470">
        <f>IF(D11="","-",+C50+1)</f>
        <v>2043</v>
      </c>
      <c r="D51" s="481">
        <f>IF(F50+SUM(E$17:E50)=D$10,F50,D$10-SUM(E$17:E50))</f>
        <v>185583</v>
      </c>
      <c r="E51" s="482">
        <f>IF(+I14&lt;F50,I14,D51)</f>
        <v>22919</v>
      </c>
      <c r="F51" s="483">
        <f t="shared" si="26"/>
        <v>162664</v>
      </c>
      <c r="G51" s="484">
        <f t="shared" si="24"/>
        <v>43702.198244688625</v>
      </c>
      <c r="H51" s="453">
        <f t="shared" si="25"/>
        <v>43702.198244688625</v>
      </c>
      <c r="I51" s="473">
        <f t="shared" si="27"/>
        <v>0</v>
      </c>
      <c r="J51" s="473"/>
      <c r="K51" s="485"/>
      <c r="L51" s="476">
        <f t="shared" si="28"/>
        <v>0</v>
      </c>
      <c r="M51" s="485"/>
      <c r="N51" s="476">
        <f t="shared" si="29"/>
        <v>0</v>
      </c>
      <c r="O51" s="476">
        <f t="shared" si="30"/>
        <v>0</v>
      </c>
      <c r="P51" s="241"/>
    </row>
    <row r="52" spans="2:16" ht="12.5">
      <c r="B52" s="160" t="str">
        <f t="shared" si="6"/>
        <v/>
      </c>
      <c r="C52" s="470">
        <f>IF(D11="","-",+C51+1)</f>
        <v>2044</v>
      </c>
      <c r="D52" s="481">
        <f>IF(F51+SUM(E$17:E51)=D$10,F51,D$10-SUM(E$17:E51))</f>
        <v>162664</v>
      </c>
      <c r="E52" s="482">
        <f>IF(+I14&lt;F51,I14,D52)</f>
        <v>22919</v>
      </c>
      <c r="F52" s="483">
        <f t="shared" si="26"/>
        <v>139745</v>
      </c>
      <c r="G52" s="484">
        <f t="shared" si="24"/>
        <v>40966.61045458552</v>
      </c>
      <c r="H52" s="453">
        <f t="shared" si="25"/>
        <v>40966.61045458552</v>
      </c>
      <c r="I52" s="473">
        <f t="shared" si="27"/>
        <v>0</v>
      </c>
      <c r="J52" s="473"/>
      <c r="K52" s="485"/>
      <c r="L52" s="476">
        <f t="shared" si="28"/>
        <v>0</v>
      </c>
      <c r="M52" s="485"/>
      <c r="N52" s="476">
        <f t="shared" si="29"/>
        <v>0</v>
      </c>
      <c r="O52" s="476">
        <f t="shared" si="30"/>
        <v>0</v>
      </c>
      <c r="P52" s="241"/>
    </row>
    <row r="53" spans="2:16" ht="12.5">
      <c r="B53" s="160" t="str">
        <f t="shared" si="6"/>
        <v/>
      </c>
      <c r="C53" s="470">
        <f>IF(D11="","-",+C52+1)</f>
        <v>2045</v>
      </c>
      <c r="D53" s="481">
        <f>IF(F52+SUM(E$17:E52)=D$10,F52,D$10-SUM(E$17:E52))</f>
        <v>139745</v>
      </c>
      <c r="E53" s="482">
        <f>IF(+I14&lt;F52,I14,D53)</f>
        <v>22919</v>
      </c>
      <c r="F53" s="483">
        <f t="shared" si="26"/>
        <v>116826</v>
      </c>
      <c r="G53" s="484">
        <f t="shared" si="24"/>
        <v>38231.022664482414</v>
      </c>
      <c r="H53" s="453">
        <f t="shared" si="25"/>
        <v>38231.022664482414</v>
      </c>
      <c r="I53" s="473">
        <f t="shared" si="27"/>
        <v>0</v>
      </c>
      <c r="J53" s="473"/>
      <c r="K53" s="485"/>
      <c r="L53" s="476">
        <f t="shared" si="28"/>
        <v>0</v>
      </c>
      <c r="M53" s="485"/>
      <c r="N53" s="476">
        <f t="shared" si="29"/>
        <v>0</v>
      </c>
      <c r="O53" s="476">
        <f t="shared" si="30"/>
        <v>0</v>
      </c>
      <c r="P53" s="241"/>
    </row>
    <row r="54" spans="2:16" ht="12.5">
      <c r="B54" s="160" t="str">
        <f t="shared" si="6"/>
        <v/>
      </c>
      <c r="C54" s="470">
        <f>IF(D11="","-",+C53+1)</f>
        <v>2046</v>
      </c>
      <c r="D54" s="481">
        <f>IF(F53+SUM(E$17:E53)=D$10,F53,D$10-SUM(E$17:E53))</f>
        <v>116826</v>
      </c>
      <c r="E54" s="482">
        <f>IF(+I14&lt;F53,I14,D54)</f>
        <v>22919</v>
      </c>
      <c r="F54" s="483">
        <f t="shared" si="26"/>
        <v>93907</v>
      </c>
      <c r="G54" s="484">
        <f t="shared" si="24"/>
        <v>35495.434874379302</v>
      </c>
      <c r="H54" s="453">
        <f t="shared" si="25"/>
        <v>35495.434874379302</v>
      </c>
      <c r="I54" s="473">
        <f t="shared" si="27"/>
        <v>0</v>
      </c>
      <c r="J54" s="473"/>
      <c r="K54" s="485"/>
      <c r="L54" s="476">
        <f t="shared" si="28"/>
        <v>0</v>
      </c>
      <c r="M54" s="485"/>
      <c r="N54" s="476">
        <f t="shared" si="29"/>
        <v>0</v>
      </c>
      <c r="O54" s="476">
        <f t="shared" si="30"/>
        <v>0</v>
      </c>
      <c r="P54" s="241"/>
    </row>
    <row r="55" spans="2:16" ht="12.5">
      <c r="B55" s="160" t="str">
        <f t="shared" si="6"/>
        <v/>
      </c>
      <c r="C55" s="470">
        <f>IF(D11="","-",+C54+1)</f>
        <v>2047</v>
      </c>
      <c r="D55" s="481">
        <f>IF(F54+SUM(E$17:E54)=D$10,F54,D$10-SUM(E$17:E54))</f>
        <v>93907</v>
      </c>
      <c r="E55" s="482">
        <f>IF(+I14&lt;F54,I14,D55)</f>
        <v>22919</v>
      </c>
      <c r="F55" s="483">
        <f t="shared" si="26"/>
        <v>70988</v>
      </c>
      <c r="G55" s="484">
        <f t="shared" si="24"/>
        <v>32759.847084276196</v>
      </c>
      <c r="H55" s="453">
        <f t="shared" si="25"/>
        <v>32759.847084276196</v>
      </c>
      <c r="I55" s="473">
        <f t="shared" si="27"/>
        <v>0</v>
      </c>
      <c r="J55" s="473"/>
      <c r="K55" s="485"/>
      <c r="L55" s="476">
        <f t="shared" si="28"/>
        <v>0</v>
      </c>
      <c r="M55" s="485"/>
      <c r="N55" s="476">
        <f t="shared" si="29"/>
        <v>0</v>
      </c>
      <c r="O55" s="476">
        <f t="shared" si="30"/>
        <v>0</v>
      </c>
      <c r="P55" s="241"/>
    </row>
    <row r="56" spans="2:16" ht="12.5">
      <c r="B56" s="160" t="str">
        <f t="shared" si="6"/>
        <v/>
      </c>
      <c r="C56" s="470">
        <f>IF(D11="","-",+C55+1)</f>
        <v>2048</v>
      </c>
      <c r="D56" s="481">
        <f>IF(F55+SUM(E$17:E55)=D$10,F55,D$10-SUM(E$17:E55))</f>
        <v>70988</v>
      </c>
      <c r="E56" s="482">
        <f>IF(+I14&lt;F55,I14,D56)</f>
        <v>22919</v>
      </c>
      <c r="F56" s="483">
        <f t="shared" si="26"/>
        <v>48069</v>
      </c>
      <c r="G56" s="484">
        <f t="shared" si="24"/>
        <v>30024.259294173084</v>
      </c>
      <c r="H56" s="453">
        <f t="shared" si="25"/>
        <v>30024.259294173084</v>
      </c>
      <c r="I56" s="473">
        <f t="shared" si="27"/>
        <v>0</v>
      </c>
      <c r="J56" s="473"/>
      <c r="K56" s="485"/>
      <c r="L56" s="476">
        <f t="shared" si="28"/>
        <v>0</v>
      </c>
      <c r="M56" s="485"/>
      <c r="N56" s="476">
        <f t="shared" si="29"/>
        <v>0</v>
      </c>
      <c r="O56" s="476">
        <f t="shared" si="30"/>
        <v>0</v>
      </c>
      <c r="P56" s="241"/>
    </row>
    <row r="57" spans="2:16" ht="12.5">
      <c r="B57" s="160" t="str">
        <f t="shared" si="6"/>
        <v/>
      </c>
      <c r="C57" s="470">
        <f>IF(D11="","-",+C56+1)</f>
        <v>2049</v>
      </c>
      <c r="D57" s="481">
        <f>IF(F56+SUM(E$17:E56)=D$10,F56,D$10-SUM(E$17:E56))</f>
        <v>48069</v>
      </c>
      <c r="E57" s="482">
        <f>IF(+I14&lt;F56,I14,D57)</f>
        <v>22919</v>
      </c>
      <c r="F57" s="483">
        <f t="shared" si="26"/>
        <v>25150</v>
      </c>
      <c r="G57" s="484">
        <f t="shared" si="24"/>
        <v>27288.671504069975</v>
      </c>
      <c r="H57" s="453">
        <f t="shared" si="25"/>
        <v>27288.671504069975</v>
      </c>
      <c r="I57" s="473">
        <f t="shared" si="27"/>
        <v>0</v>
      </c>
      <c r="J57" s="473"/>
      <c r="K57" s="485"/>
      <c r="L57" s="476">
        <f t="shared" si="28"/>
        <v>0</v>
      </c>
      <c r="M57" s="485"/>
      <c r="N57" s="476">
        <f t="shared" si="29"/>
        <v>0</v>
      </c>
      <c r="O57" s="476">
        <f t="shared" si="30"/>
        <v>0</v>
      </c>
      <c r="P57" s="241"/>
    </row>
    <row r="58" spans="2:16" ht="12.5">
      <c r="B58" s="160" t="str">
        <f t="shared" si="6"/>
        <v/>
      </c>
      <c r="C58" s="470">
        <f>IF(D11="","-",+C57+1)</f>
        <v>2050</v>
      </c>
      <c r="D58" s="481">
        <f>IF(F57+SUM(E$17:E57)=D$10,F57,D$10-SUM(E$17:E57))</f>
        <v>25150</v>
      </c>
      <c r="E58" s="482">
        <f>IF(+I14&lt;F57,I14,D58)</f>
        <v>22919</v>
      </c>
      <c r="F58" s="483">
        <f t="shared" si="26"/>
        <v>2231</v>
      </c>
      <c r="G58" s="484">
        <f t="shared" si="24"/>
        <v>24553.083713966866</v>
      </c>
      <c r="H58" s="453">
        <f t="shared" si="25"/>
        <v>24553.083713966866</v>
      </c>
      <c r="I58" s="473">
        <f t="shared" si="27"/>
        <v>0</v>
      </c>
      <c r="J58" s="473"/>
      <c r="K58" s="485"/>
      <c r="L58" s="476">
        <f t="shared" si="28"/>
        <v>0</v>
      </c>
      <c r="M58" s="485"/>
      <c r="N58" s="476">
        <f t="shared" si="29"/>
        <v>0</v>
      </c>
      <c r="O58" s="476">
        <f t="shared" si="30"/>
        <v>0</v>
      </c>
      <c r="P58" s="241"/>
    </row>
    <row r="59" spans="2:16" ht="12.5">
      <c r="B59" s="160" t="str">
        <f t="shared" si="6"/>
        <v/>
      </c>
      <c r="C59" s="470">
        <f>IF(D11="","-",+C58+1)</f>
        <v>2051</v>
      </c>
      <c r="D59" s="481">
        <f>IF(F58+SUM(E$17:E58)=D$10,F58,D$10-SUM(E$17:E58))</f>
        <v>2231</v>
      </c>
      <c r="E59" s="482">
        <f>IF(+I14&lt;F58,I14,D59)</f>
        <v>2231</v>
      </c>
      <c r="F59" s="483">
        <f t="shared" si="26"/>
        <v>0</v>
      </c>
      <c r="G59" s="484">
        <f t="shared" si="24"/>
        <v>2364.144909457656</v>
      </c>
      <c r="H59" s="453">
        <f t="shared" si="25"/>
        <v>2364.144909457656</v>
      </c>
      <c r="I59" s="473">
        <f t="shared" si="27"/>
        <v>0</v>
      </c>
      <c r="J59" s="473"/>
      <c r="K59" s="485"/>
      <c r="L59" s="476">
        <f t="shared" si="28"/>
        <v>0</v>
      </c>
      <c r="M59" s="485"/>
      <c r="N59" s="476">
        <f t="shared" si="29"/>
        <v>0</v>
      </c>
      <c r="O59" s="476">
        <f t="shared" si="30"/>
        <v>0</v>
      </c>
      <c r="P59" s="241"/>
    </row>
    <row r="60" spans="2:16" ht="12.5">
      <c r="B60" s="160" t="str">
        <f t="shared" si="6"/>
        <v/>
      </c>
      <c r="C60" s="470">
        <f>IF(D11="","-",+C59+1)</f>
        <v>2052</v>
      </c>
      <c r="D60" s="481">
        <f>IF(F59+SUM(E$17:E59)=D$10,F59,D$10-SUM(E$17:E59))</f>
        <v>0</v>
      </c>
      <c r="E60" s="482">
        <f>IF(+I14&lt;F59,I14,D60)</f>
        <v>0</v>
      </c>
      <c r="F60" s="483">
        <f t="shared" si="26"/>
        <v>0</v>
      </c>
      <c r="G60" s="484">
        <f t="shared" si="24"/>
        <v>0</v>
      </c>
      <c r="H60" s="453">
        <f t="shared" si="25"/>
        <v>0</v>
      </c>
      <c r="I60" s="473">
        <f t="shared" si="27"/>
        <v>0</v>
      </c>
      <c r="J60" s="473"/>
      <c r="K60" s="485"/>
      <c r="L60" s="476">
        <f t="shared" si="28"/>
        <v>0</v>
      </c>
      <c r="M60" s="485"/>
      <c r="N60" s="476">
        <f t="shared" si="29"/>
        <v>0</v>
      </c>
      <c r="O60" s="476">
        <f t="shared" si="30"/>
        <v>0</v>
      </c>
      <c r="P60" s="241"/>
    </row>
    <row r="61" spans="2:16" ht="12.5">
      <c r="B61" s="160" t="str">
        <f t="shared" si="6"/>
        <v/>
      </c>
      <c r="C61" s="470">
        <f>IF(D11="","-",+C60+1)</f>
        <v>2053</v>
      </c>
      <c r="D61" s="481">
        <f>IF(F60+SUM(E$17:E60)=D$10,F60,D$10-SUM(E$17:E60))</f>
        <v>0</v>
      </c>
      <c r="E61" s="482">
        <f>IF(+I14&lt;F60,I14,D61)</f>
        <v>0</v>
      </c>
      <c r="F61" s="483">
        <f t="shared" si="26"/>
        <v>0</v>
      </c>
      <c r="G61" s="484">
        <f t="shared" si="24"/>
        <v>0</v>
      </c>
      <c r="H61" s="453">
        <f t="shared" si="25"/>
        <v>0</v>
      </c>
      <c r="I61" s="473">
        <f t="shared" si="27"/>
        <v>0</v>
      </c>
      <c r="J61" s="473"/>
      <c r="K61" s="485"/>
      <c r="L61" s="476">
        <f t="shared" si="28"/>
        <v>0</v>
      </c>
      <c r="M61" s="485"/>
      <c r="N61" s="476">
        <f t="shared" si="29"/>
        <v>0</v>
      </c>
      <c r="O61" s="476">
        <f t="shared" si="30"/>
        <v>0</v>
      </c>
      <c r="P61" s="241"/>
    </row>
    <row r="62" spans="2:16" ht="12.5">
      <c r="B62" s="160" t="str">
        <f t="shared" si="6"/>
        <v/>
      </c>
      <c r="C62" s="470">
        <f>IF(D11="","-",+C61+1)</f>
        <v>2054</v>
      </c>
      <c r="D62" s="481">
        <f>IF(F61+SUM(E$17:E61)=D$10,F61,D$10-SUM(E$17:E61))</f>
        <v>0</v>
      </c>
      <c r="E62" s="482">
        <f>IF(+I14&lt;F61,I14,D62)</f>
        <v>0</v>
      </c>
      <c r="F62" s="483">
        <f t="shared" si="26"/>
        <v>0</v>
      </c>
      <c r="G62" s="484">
        <f t="shared" si="24"/>
        <v>0</v>
      </c>
      <c r="H62" s="453">
        <f t="shared" si="25"/>
        <v>0</v>
      </c>
      <c r="I62" s="473">
        <f t="shared" si="27"/>
        <v>0</v>
      </c>
      <c r="J62" s="473"/>
      <c r="K62" s="485"/>
      <c r="L62" s="476">
        <f t="shared" si="28"/>
        <v>0</v>
      </c>
      <c r="M62" s="485"/>
      <c r="N62" s="476">
        <f t="shared" si="29"/>
        <v>0</v>
      </c>
      <c r="O62" s="476">
        <f t="shared" si="30"/>
        <v>0</v>
      </c>
      <c r="P62" s="241"/>
    </row>
    <row r="63" spans="2:16" ht="12.5">
      <c r="B63" s="160" t="str">
        <f t="shared" si="6"/>
        <v/>
      </c>
      <c r="C63" s="470">
        <f>IF(D11="","-",+C62+1)</f>
        <v>2055</v>
      </c>
      <c r="D63" s="481">
        <f>IF(F62+SUM(E$17:E62)=D$10,F62,D$10-SUM(E$17:E62))</f>
        <v>0</v>
      </c>
      <c r="E63" s="482">
        <f>IF(+I14&lt;F62,I14,D63)</f>
        <v>0</v>
      </c>
      <c r="F63" s="483">
        <f t="shared" si="26"/>
        <v>0</v>
      </c>
      <c r="G63" s="484">
        <f t="shared" si="24"/>
        <v>0</v>
      </c>
      <c r="H63" s="453">
        <f t="shared" si="25"/>
        <v>0</v>
      </c>
      <c r="I63" s="473">
        <f t="shared" si="27"/>
        <v>0</v>
      </c>
      <c r="J63" s="473"/>
      <c r="K63" s="485"/>
      <c r="L63" s="476">
        <f t="shared" si="28"/>
        <v>0</v>
      </c>
      <c r="M63" s="485"/>
      <c r="N63" s="476">
        <f t="shared" si="29"/>
        <v>0</v>
      </c>
      <c r="O63" s="476">
        <f t="shared" si="30"/>
        <v>0</v>
      </c>
      <c r="P63" s="241"/>
    </row>
    <row r="64" spans="2:16" ht="12.5">
      <c r="B64" s="160" t="str">
        <f t="shared" si="6"/>
        <v/>
      </c>
      <c r="C64" s="470">
        <f>IF(D11="","-",+C63+1)</f>
        <v>2056</v>
      </c>
      <c r="D64" s="481">
        <f>IF(F63+SUM(E$17:E63)=D$10,F63,D$10-SUM(E$17:E63))</f>
        <v>0</v>
      </c>
      <c r="E64" s="482">
        <f>IF(+I14&lt;F63,I14,D64)</f>
        <v>0</v>
      </c>
      <c r="F64" s="483">
        <f t="shared" si="26"/>
        <v>0</v>
      </c>
      <c r="G64" s="484">
        <f t="shared" si="24"/>
        <v>0</v>
      </c>
      <c r="H64" s="453">
        <f t="shared" si="25"/>
        <v>0</v>
      </c>
      <c r="I64" s="473">
        <f t="shared" si="27"/>
        <v>0</v>
      </c>
      <c r="J64" s="473"/>
      <c r="K64" s="485"/>
      <c r="L64" s="476">
        <f t="shared" si="28"/>
        <v>0</v>
      </c>
      <c r="M64" s="485"/>
      <c r="N64" s="476">
        <f t="shared" si="29"/>
        <v>0</v>
      </c>
      <c r="O64" s="476">
        <f t="shared" si="30"/>
        <v>0</v>
      </c>
      <c r="P64" s="241"/>
    </row>
    <row r="65" spans="1:16" ht="12.5">
      <c r="B65" s="160" t="str">
        <f t="shared" si="6"/>
        <v/>
      </c>
      <c r="C65" s="470">
        <f>IF(D11="","-",+C64+1)</f>
        <v>2057</v>
      </c>
      <c r="D65" s="481">
        <f>IF(F64+SUM(E$17:E64)=D$10,F64,D$10-SUM(E$17:E64))</f>
        <v>0</v>
      </c>
      <c r="E65" s="482">
        <f>IF(+I14&lt;F64,I14,D65)</f>
        <v>0</v>
      </c>
      <c r="F65" s="483">
        <f t="shared" si="26"/>
        <v>0</v>
      </c>
      <c r="G65" s="484">
        <f t="shared" si="24"/>
        <v>0</v>
      </c>
      <c r="H65" s="453">
        <f t="shared" si="25"/>
        <v>0</v>
      </c>
      <c r="I65" s="473">
        <f t="shared" si="27"/>
        <v>0</v>
      </c>
      <c r="J65" s="473"/>
      <c r="K65" s="485"/>
      <c r="L65" s="476">
        <f t="shared" si="28"/>
        <v>0</v>
      </c>
      <c r="M65" s="485"/>
      <c r="N65" s="476">
        <f t="shared" si="29"/>
        <v>0</v>
      </c>
      <c r="O65" s="476">
        <f t="shared" si="30"/>
        <v>0</v>
      </c>
      <c r="P65" s="241"/>
    </row>
    <row r="66" spans="1:16" ht="12.5">
      <c r="B66" s="160" t="str">
        <f t="shared" si="6"/>
        <v/>
      </c>
      <c r="C66" s="470">
        <f>IF(D11="","-",+C65+1)</f>
        <v>2058</v>
      </c>
      <c r="D66" s="481">
        <f>IF(F65+SUM(E$17:E65)=D$10,F65,D$10-SUM(E$17:E65))</f>
        <v>0</v>
      </c>
      <c r="E66" s="482">
        <f>IF(+I14&lt;F65,I14,D66)</f>
        <v>0</v>
      </c>
      <c r="F66" s="483">
        <f t="shared" si="26"/>
        <v>0</v>
      </c>
      <c r="G66" s="484">
        <f t="shared" si="24"/>
        <v>0</v>
      </c>
      <c r="H66" s="453">
        <f t="shared" si="25"/>
        <v>0</v>
      </c>
      <c r="I66" s="473">
        <f t="shared" si="27"/>
        <v>0</v>
      </c>
      <c r="J66" s="473"/>
      <c r="K66" s="485"/>
      <c r="L66" s="476">
        <f t="shared" si="28"/>
        <v>0</v>
      </c>
      <c r="M66" s="485"/>
      <c r="N66" s="476">
        <f t="shared" si="29"/>
        <v>0</v>
      </c>
      <c r="O66" s="476">
        <f t="shared" si="30"/>
        <v>0</v>
      </c>
      <c r="P66" s="241"/>
    </row>
    <row r="67" spans="1:16" ht="12.5">
      <c r="B67" s="160" t="str">
        <f t="shared" si="6"/>
        <v/>
      </c>
      <c r="C67" s="470">
        <f>IF(D11="","-",+C66+1)</f>
        <v>2059</v>
      </c>
      <c r="D67" s="481">
        <f>IF(F66+SUM(E$17:E66)=D$10,F66,D$10-SUM(E$17:E66))</f>
        <v>0</v>
      </c>
      <c r="E67" s="482">
        <f>IF(+I14&lt;F66,I14,D67)</f>
        <v>0</v>
      </c>
      <c r="F67" s="483">
        <f t="shared" si="26"/>
        <v>0</v>
      </c>
      <c r="G67" s="484">
        <f t="shared" si="24"/>
        <v>0</v>
      </c>
      <c r="H67" s="453">
        <f t="shared" si="25"/>
        <v>0</v>
      </c>
      <c r="I67" s="473">
        <f t="shared" si="27"/>
        <v>0</v>
      </c>
      <c r="J67" s="473"/>
      <c r="K67" s="485"/>
      <c r="L67" s="476">
        <f t="shared" si="28"/>
        <v>0</v>
      </c>
      <c r="M67" s="485"/>
      <c r="N67" s="476">
        <f t="shared" si="29"/>
        <v>0</v>
      </c>
      <c r="O67" s="476">
        <f t="shared" si="30"/>
        <v>0</v>
      </c>
      <c r="P67" s="241"/>
    </row>
    <row r="68" spans="1:16" ht="12.5">
      <c r="B68" s="160" t="str">
        <f t="shared" si="6"/>
        <v/>
      </c>
      <c r="C68" s="470">
        <f>IF(D11="","-",+C67+1)</f>
        <v>2060</v>
      </c>
      <c r="D68" s="481">
        <f>IF(F67+SUM(E$17:E67)=D$10,F67,D$10-SUM(E$17:E67))</f>
        <v>0</v>
      </c>
      <c r="E68" s="482">
        <f>IF(+I14&lt;F67,I14,D68)</f>
        <v>0</v>
      </c>
      <c r="F68" s="483">
        <f t="shared" si="26"/>
        <v>0</v>
      </c>
      <c r="G68" s="484">
        <f t="shared" si="24"/>
        <v>0</v>
      </c>
      <c r="H68" s="453">
        <f t="shared" si="25"/>
        <v>0</v>
      </c>
      <c r="I68" s="473">
        <f t="shared" si="27"/>
        <v>0</v>
      </c>
      <c r="J68" s="473"/>
      <c r="K68" s="485"/>
      <c r="L68" s="476">
        <f t="shared" si="28"/>
        <v>0</v>
      </c>
      <c r="M68" s="485"/>
      <c r="N68" s="476">
        <f t="shared" si="29"/>
        <v>0</v>
      </c>
      <c r="O68" s="476">
        <f t="shared" si="30"/>
        <v>0</v>
      </c>
      <c r="P68" s="241"/>
    </row>
    <row r="69" spans="1:16" ht="12.5">
      <c r="B69" s="160" t="str">
        <f t="shared" si="6"/>
        <v/>
      </c>
      <c r="C69" s="470">
        <f>IF(D11="","-",+C68+1)</f>
        <v>2061</v>
      </c>
      <c r="D69" s="481">
        <f>IF(F68+SUM(E$17:E68)=D$10,F68,D$10-SUM(E$17:E68))</f>
        <v>0</v>
      </c>
      <c r="E69" s="482">
        <f>IF(+I14&lt;F68,I14,D69)</f>
        <v>0</v>
      </c>
      <c r="F69" s="483">
        <f t="shared" si="26"/>
        <v>0</v>
      </c>
      <c r="G69" s="484">
        <f t="shared" si="24"/>
        <v>0</v>
      </c>
      <c r="H69" s="453">
        <f t="shared" si="25"/>
        <v>0</v>
      </c>
      <c r="I69" s="473">
        <f t="shared" si="27"/>
        <v>0</v>
      </c>
      <c r="J69" s="473"/>
      <c r="K69" s="485"/>
      <c r="L69" s="476">
        <f t="shared" si="28"/>
        <v>0</v>
      </c>
      <c r="M69" s="485"/>
      <c r="N69" s="476">
        <f t="shared" si="29"/>
        <v>0</v>
      </c>
      <c r="O69" s="476">
        <f t="shared" si="30"/>
        <v>0</v>
      </c>
      <c r="P69" s="241"/>
    </row>
    <row r="70" spans="1:16" ht="12.5">
      <c r="B70" s="160" t="str">
        <f t="shared" si="6"/>
        <v/>
      </c>
      <c r="C70" s="470">
        <f>IF(D11="","-",+C69+1)</f>
        <v>2062</v>
      </c>
      <c r="D70" s="481">
        <f>IF(F69+SUM(E$17:E69)=D$10,F69,D$10-SUM(E$17:E69))</f>
        <v>0</v>
      </c>
      <c r="E70" s="482">
        <f>IF(+I14&lt;F69,I14,D70)</f>
        <v>0</v>
      </c>
      <c r="F70" s="483">
        <f t="shared" si="26"/>
        <v>0</v>
      </c>
      <c r="G70" s="484">
        <f t="shared" si="24"/>
        <v>0</v>
      </c>
      <c r="H70" s="453">
        <f t="shared" si="25"/>
        <v>0</v>
      </c>
      <c r="I70" s="473">
        <f t="shared" si="27"/>
        <v>0</v>
      </c>
      <c r="J70" s="473"/>
      <c r="K70" s="485"/>
      <c r="L70" s="476">
        <f t="shared" si="28"/>
        <v>0</v>
      </c>
      <c r="M70" s="485"/>
      <c r="N70" s="476">
        <f t="shared" si="29"/>
        <v>0</v>
      </c>
      <c r="O70" s="476">
        <f t="shared" si="30"/>
        <v>0</v>
      </c>
      <c r="P70" s="241"/>
    </row>
    <row r="71" spans="1:16" ht="12.5">
      <c r="B71" s="160" t="str">
        <f t="shared" si="6"/>
        <v/>
      </c>
      <c r="C71" s="470">
        <f>IF(D11="","-",+C70+1)</f>
        <v>2063</v>
      </c>
      <c r="D71" s="481">
        <f>IF(F70+SUM(E$17:E70)=D$10,F70,D$10-SUM(E$17:E70))</f>
        <v>0</v>
      </c>
      <c r="E71" s="482">
        <f>IF(+I14&lt;F70,I14,D71)</f>
        <v>0</v>
      </c>
      <c r="F71" s="483">
        <f t="shared" si="26"/>
        <v>0</v>
      </c>
      <c r="G71" s="484">
        <f t="shared" si="24"/>
        <v>0</v>
      </c>
      <c r="H71" s="453">
        <f t="shared" si="25"/>
        <v>0</v>
      </c>
      <c r="I71" s="473">
        <f t="shared" si="27"/>
        <v>0</v>
      </c>
      <c r="J71" s="473"/>
      <c r="K71" s="485"/>
      <c r="L71" s="476">
        <f t="shared" si="28"/>
        <v>0</v>
      </c>
      <c r="M71" s="485"/>
      <c r="N71" s="476">
        <f t="shared" si="29"/>
        <v>0</v>
      </c>
      <c r="O71" s="476">
        <f t="shared" si="30"/>
        <v>0</v>
      </c>
      <c r="P71" s="241"/>
    </row>
    <row r="72" spans="1:16" ht="13" thickBot="1">
      <c r="B72" s="160" t="str">
        <f t="shared" si="6"/>
        <v/>
      </c>
      <c r="C72" s="487">
        <f>IF(D11="","-",+C71+1)</f>
        <v>2064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6"/>
        <v>0</v>
      </c>
      <c r="G72" s="488">
        <f t="shared" si="24"/>
        <v>0</v>
      </c>
      <c r="H72" s="488">
        <f t="shared" si="25"/>
        <v>0</v>
      </c>
      <c r="I72" s="491">
        <f t="shared" si="27"/>
        <v>0</v>
      </c>
      <c r="J72" s="473"/>
      <c r="K72" s="492"/>
      <c r="L72" s="493">
        <f t="shared" si="28"/>
        <v>0</v>
      </c>
      <c r="M72" s="492"/>
      <c r="N72" s="493">
        <f t="shared" si="29"/>
        <v>0</v>
      </c>
      <c r="O72" s="493">
        <f t="shared" si="30"/>
        <v>0</v>
      </c>
      <c r="P72" s="241"/>
    </row>
    <row r="73" spans="1:16" ht="12.5">
      <c r="C73" s="345" t="s">
        <v>77</v>
      </c>
      <c r="D73" s="346"/>
      <c r="E73" s="346">
        <f>SUM(E17:E72)</f>
        <v>893858</v>
      </c>
      <c r="F73" s="346"/>
      <c r="G73" s="346">
        <f>SUM(G17:G72)</f>
        <v>3317884.4283438385</v>
      </c>
      <c r="H73" s="346">
        <f>SUM(H17:H72)</f>
        <v>3317884.4283438385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1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1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1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1:16" ht="17.5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495"/>
      <c r="P77" s="241"/>
    </row>
    <row r="78" spans="1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1:16" ht="15.5">
      <c r="A79" s="496"/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</row>
    <row r="80" spans="1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497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1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97046.160151699252</v>
      </c>
      <c r="N87" s="506">
        <f>IF(J92&lt;D11,0,VLOOKUP(J92,C17:O72,11))</f>
        <v>97046.160151699252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94764.071336101319</v>
      </c>
      <c r="N88" s="510">
        <f>IF(J92&lt;D11,0,VLOOKUP(J92,C99:P154,7))</f>
        <v>94764.071336101319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Riverside-Glenpool (81-523) Reconductor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-2282.0888155979337</v>
      </c>
      <c r="N89" s="515">
        <f>+N88-N87</f>
        <v>-2282.0888155979337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TP2006087</v>
      </c>
      <c r="E91" s="520"/>
      <c r="F91" s="520"/>
      <c r="G91" s="520"/>
      <c r="H91" s="520"/>
      <c r="I91" s="520"/>
      <c r="J91" s="521"/>
      <c r="K91" s="522"/>
      <c r="P91" s="443"/>
    </row>
    <row r="92" spans="1:16" ht="13">
      <c r="C92" s="444" t="s">
        <v>226</v>
      </c>
      <c r="D92" s="445">
        <f>+D10</f>
        <v>893858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23523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2009</v>
      </c>
      <c r="D99" s="471">
        <v>0</v>
      </c>
      <c r="E99" s="478">
        <v>7981</v>
      </c>
      <c r="F99" s="477">
        <v>885877</v>
      </c>
      <c r="G99" s="535">
        <v>442938.5</v>
      </c>
      <c r="H99" s="536">
        <v>72742</v>
      </c>
      <c r="I99" s="537">
        <v>72742</v>
      </c>
      <c r="J99" s="476">
        <f t="shared" ref="J99:J130" si="31">+I99-H99</f>
        <v>0</v>
      </c>
      <c r="K99" s="476"/>
      <c r="L99" s="474">
        <f t="shared" ref="L99:L104" si="32">H99</f>
        <v>72742</v>
      </c>
      <c r="M99" s="475">
        <f t="shared" ref="M99:M130" si="33">IF(L99&lt;&gt;0,+H99-L99,0)</f>
        <v>0</v>
      </c>
      <c r="N99" s="474">
        <f t="shared" ref="N99:N104" si="34">I99</f>
        <v>72742</v>
      </c>
      <c r="O99" s="475">
        <f t="shared" ref="O99:O130" si="35">IF(N99&lt;&gt;0,+I99-N99,0)</f>
        <v>0</v>
      </c>
      <c r="P99" s="475">
        <f t="shared" ref="P99:P130" si="36">+O99-M99</f>
        <v>0</v>
      </c>
    </row>
    <row r="100" spans="1:16" ht="12.5">
      <c r="B100" s="160" t="str">
        <f>IF(D100=F99,"","IU")</f>
        <v/>
      </c>
      <c r="C100" s="470">
        <f>IF(D93="","-",+C99+1)</f>
        <v>2010</v>
      </c>
      <c r="D100" s="471">
        <v>885877</v>
      </c>
      <c r="E100" s="478">
        <v>17527</v>
      </c>
      <c r="F100" s="477">
        <v>868350</v>
      </c>
      <c r="G100" s="477">
        <v>877113.5</v>
      </c>
      <c r="H100" s="536">
        <v>158580.20000000001</v>
      </c>
      <c r="I100" s="537">
        <v>158580.20000000001</v>
      </c>
      <c r="J100" s="476">
        <f t="shared" si="31"/>
        <v>0</v>
      </c>
      <c r="K100" s="476"/>
      <c r="L100" s="474">
        <f t="shared" si="32"/>
        <v>158580.20000000001</v>
      </c>
      <c r="M100" s="476">
        <f t="shared" si="33"/>
        <v>0</v>
      </c>
      <c r="N100" s="474">
        <f t="shared" si="34"/>
        <v>158580.20000000001</v>
      </c>
      <c r="O100" s="476">
        <f t="shared" si="35"/>
        <v>0</v>
      </c>
      <c r="P100" s="476">
        <f t="shared" si="36"/>
        <v>0</v>
      </c>
    </row>
    <row r="101" spans="1:16" ht="12.5">
      <c r="B101" s="160" t="str">
        <f t="shared" ref="B101:B154" si="37">IF(D101=F100,"","IU")</f>
        <v/>
      </c>
      <c r="C101" s="480">
        <f>IF(D93="","-",+C100+1)</f>
        <v>2011</v>
      </c>
      <c r="D101" s="471">
        <v>868350</v>
      </c>
      <c r="E101" s="478">
        <v>17190</v>
      </c>
      <c r="F101" s="477">
        <v>851160</v>
      </c>
      <c r="G101" s="477">
        <v>859755</v>
      </c>
      <c r="H101" s="478">
        <v>137395.30233025842</v>
      </c>
      <c r="I101" s="479">
        <v>137395.30233025842</v>
      </c>
      <c r="J101" s="476">
        <f t="shared" si="31"/>
        <v>0</v>
      </c>
      <c r="K101" s="476"/>
      <c r="L101" s="538">
        <f t="shared" si="32"/>
        <v>137395.30233025842</v>
      </c>
      <c r="M101" s="539">
        <f t="shared" si="33"/>
        <v>0</v>
      </c>
      <c r="N101" s="538">
        <f t="shared" si="34"/>
        <v>137395.30233025842</v>
      </c>
      <c r="O101" s="476">
        <f t="shared" si="35"/>
        <v>0</v>
      </c>
      <c r="P101" s="476">
        <f t="shared" si="36"/>
        <v>0</v>
      </c>
    </row>
    <row r="102" spans="1:16" ht="12.5">
      <c r="B102" s="160" t="str">
        <f t="shared" si="37"/>
        <v/>
      </c>
      <c r="C102" s="480">
        <f>IF(D93="","-",+C101+1)</f>
        <v>2012</v>
      </c>
      <c r="D102" s="471">
        <v>851160</v>
      </c>
      <c r="E102" s="478">
        <v>17190</v>
      </c>
      <c r="F102" s="477">
        <v>833970</v>
      </c>
      <c r="G102" s="477">
        <v>842565</v>
      </c>
      <c r="H102" s="478">
        <v>138397.59402070014</v>
      </c>
      <c r="I102" s="479">
        <v>138397.59402070014</v>
      </c>
      <c r="J102" s="476">
        <v>0</v>
      </c>
      <c r="K102" s="476"/>
      <c r="L102" s="538">
        <f t="shared" si="32"/>
        <v>138397.59402070014</v>
      </c>
      <c r="M102" s="539">
        <f t="shared" ref="M102:M107" si="38">IF(L102&lt;&gt;0,+H102-L102,0)</f>
        <v>0</v>
      </c>
      <c r="N102" s="538">
        <f t="shared" si="34"/>
        <v>138397.59402070014</v>
      </c>
      <c r="O102" s="476">
        <f t="shared" ref="O102:O107" si="39">IF(N102&lt;&gt;0,+I102-N102,0)</f>
        <v>0</v>
      </c>
      <c r="P102" s="476">
        <f t="shared" ref="P102:P107" si="40">+O102-M102</f>
        <v>0</v>
      </c>
    </row>
    <row r="103" spans="1:16" ht="12.5">
      <c r="B103" s="160" t="str">
        <f t="shared" si="37"/>
        <v/>
      </c>
      <c r="C103" s="470">
        <f>IF(D93="","-",+C102+1)</f>
        <v>2013</v>
      </c>
      <c r="D103" s="471">
        <v>833970</v>
      </c>
      <c r="E103" s="478">
        <v>17190</v>
      </c>
      <c r="F103" s="477">
        <v>816780</v>
      </c>
      <c r="G103" s="477">
        <v>825375</v>
      </c>
      <c r="H103" s="478">
        <v>135994.14234787846</v>
      </c>
      <c r="I103" s="479">
        <v>135994.14234787846</v>
      </c>
      <c r="J103" s="476">
        <v>0</v>
      </c>
      <c r="K103" s="476"/>
      <c r="L103" s="538">
        <f t="shared" si="32"/>
        <v>135994.14234787846</v>
      </c>
      <c r="M103" s="539">
        <f t="shared" si="38"/>
        <v>0</v>
      </c>
      <c r="N103" s="538">
        <f t="shared" si="34"/>
        <v>135994.14234787846</v>
      </c>
      <c r="O103" s="476">
        <f t="shared" si="39"/>
        <v>0</v>
      </c>
      <c r="P103" s="476">
        <f t="shared" si="40"/>
        <v>0</v>
      </c>
    </row>
    <row r="104" spans="1:16" ht="12.5">
      <c r="B104" s="160" t="str">
        <f t="shared" si="37"/>
        <v/>
      </c>
      <c r="C104" s="470">
        <f>IF(D93="","-",+C103+1)</f>
        <v>2014</v>
      </c>
      <c r="D104" s="471">
        <v>816780</v>
      </c>
      <c r="E104" s="478">
        <v>17190</v>
      </c>
      <c r="F104" s="477">
        <v>799590</v>
      </c>
      <c r="G104" s="477">
        <v>808185</v>
      </c>
      <c r="H104" s="478">
        <v>130817.50733584017</v>
      </c>
      <c r="I104" s="479">
        <v>130817.50733584017</v>
      </c>
      <c r="J104" s="476">
        <v>0</v>
      </c>
      <c r="K104" s="476"/>
      <c r="L104" s="538">
        <f t="shared" si="32"/>
        <v>130817.50733584017</v>
      </c>
      <c r="M104" s="539">
        <f t="shared" si="38"/>
        <v>0</v>
      </c>
      <c r="N104" s="538">
        <f t="shared" si="34"/>
        <v>130817.50733584017</v>
      </c>
      <c r="O104" s="476">
        <f t="shared" si="39"/>
        <v>0</v>
      </c>
      <c r="P104" s="476">
        <f t="shared" si="40"/>
        <v>0</v>
      </c>
    </row>
    <row r="105" spans="1:16" ht="12.5">
      <c r="B105" s="160" t="str">
        <f t="shared" si="37"/>
        <v/>
      </c>
      <c r="C105" s="470">
        <f>IF(D93="","-",+C104+1)</f>
        <v>2015</v>
      </c>
      <c r="D105" s="471">
        <v>799590</v>
      </c>
      <c r="E105" s="478">
        <v>17190</v>
      </c>
      <c r="F105" s="477">
        <v>782400</v>
      </c>
      <c r="G105" s="477">
        <v>790995</v>
      </c>
      <c r="H105" s="478">
        <v>125114.9078367878</v>
      </c>
      <c r="I105" s="479">
        <v>125114.9078367878</v>
      </c>
      <c r="J105" s="476">
        <f t="shared" si="31"/>
        <v>0</v>
      </c>
      <c r="K105" s="476"/>
      <c r="L105" s="538">
        <f t="shared" ref="L105:L110" si="41">H105</f>
        <v>125114.9078367878</v>
      </c>
      <c r="M105" s="539">
        <f t="shared" si="38"/>
        <v>0</v>
      </c>
      <c r="N105" s="538">
        <f t="shared" ref="N105:N110" si="42">I105</f>
        <v>125114.9078367878</v>
      </c>
      <c r="O105" s="476">
        <f t="shared" si="39"/>
        <v>0</v>
      </c>
      <c r="P105" s="476">
        <f t="shared" si="40"/>
        <v>0</v>
      </c>
    </row>
    <row r="106" spans="1:16" ht="12.5">
      <c r="B106" s="160" t="str">
        <f t="shared" si="37"/>
        <v/>
      </c>
      <c r="C106" s="470">
        <f>IF(D93="","-",+C105+1)</f>
        <v>2016</v>
      </c>
      <c r="D106" s="471">
        <v>782400</v>
      </c>
      <c r="E106" s="478">
        <v>19432</v>
      </c>
      <c r="F106" s="477">
        <v>762968</v>
      </c>
      <c r="G106" s="477">
        <v>772684</v>
      </c>
      <c r="H106" s="478">
        <v>119043.13650322839</v>
      </c>
      <c r="I106" s="479">
        <v>119043.13650322839</v>
      </c>
      <c r="J106" s="476">
        <f t="shared" si="31"/>
        <v>0</v>
      </c>
      <c r="K106" s="476"/>
      <c r="L106" s="538">
        <f t="shared" si="41"/>
        <v>119043.13650322839</v>
      </c>
      <c r="M106" s="539">
        <f t="shared" si="38"/>
        <v>0</v>
      </c>
      <c r="N106" s="538">
        <f t="shared" si="42"/>
        <v>119043.13650322839</v>
      </c>
      <c r="O106" s="476">
        <f t="shared" si="39"/>
        <v>0</v>
      </c>
      <c r="P106" s="476">
        <f t="shared" si="40"/>
        <v>0</v>
      </c>
    </row>
    <row r="107" spans="1:16" ht="12.5">
      <c r="B107" s="160" t="str">
        <f t="shared" si="37"/>
        <v/>
      </c>
      <c r="C107" s="470">
        <f>IF(D93="","-",+C106+1)</f>
        <v>2017</v>
      </c>
      <c r="D107" s="471">
        <v>762968</v>
      </c>
      <c r="E107" s="478">
        <v>19432</v>
      </c>
      <c r="F107" s="477">
        <v>743536</v>
      </c>
      <c r="G107" s="477">
        <v>753252</v>
      </c>
      <c r="H107" s="478">
        <v>114983.91552559278</v>
      </c>
      <c r="I107" s="479">
        <v>114983.91552559278</v>
      </c>
      <c r="J107" s="476">
        <f t="shared" si="31"/>
        <v>0</v>
      </c>
      <c r="K107" s="476"/>
      <c r="L107" s="538">
        <f t="shared" si="41"/>
        <v>114983.91552559278</v>
      </c>
      <c r="M107" s="539">
        <f t="shared" si="38"/>
        <v>0</v>
      </c>
      <c r="N107" s="538">
        <f t="shared" si="42"/>
        <v>114983.91552559278</v>
      </c>
      <c r="O107" s="476">
        <f t="shared" si="39"/>
        <v>0</v>
      </c>
      <c r="P107" s="476">
        <f t="shared" si="40"/>
        <v>0</v>
      </c>
    </row>
    <row r="108" spans="1:16" ht="12.5">
      <c r="B108" s="160" t="str">
        <f t="shared" si="37"/>
        <v/>
      </c>
      <c r="C108" s="470">
        <f>IF(D93="","-",+C107+1)</f>
        <v>2018</v>
      </c>
      <c r="D108" s="471">
        <v>743536</v>
      </c>
      <c r="E108" s="478">
        <v>20787</v>
      </c>
      <c r="F108" s="477">
        <v>722749</v>
      </c>
      <c r="G108" s="477">
        <v>733142.5</v>
      </c>
      <c r="H108" s="478">
        <v>96106.810302403712</v>
      </c>
      <c r="I108" s="479">
        <v>96106.810302403712</v>
      </c>
      <c r="J108" s="476">
        <f t="shared" si="31"/>
        <v>0</v>
      </c>
      <c r="K108" s="476"/>
      <c r="L108" s="538">
        <f t="shared" si="41"/>
        <v>96106.810302403712</v>
      </c>
      <c r="M108" s="539">
        <f t="shared" ref="M108" si="43">IF(L108&lt;&gt;0,+H108-L108,0)</f>
        <v>0</v>
      </c>
      <c r="N108" s="538">
        <f t="shared" si="42"/>
        <v>96106.810302403712</v>
      </c>
      <c r="O108" s="476">
        <f t="shared" ref="O108" si="44">IF(N108&lt;&gt;0,+I108-N108,0)</f>
        <v>0</v>
      </c>
      <c r="P108" s="476">
        <f t="shared" ref="P108" si="45">+O108-M108</f>
        <v>0</v>
      </c>
    </row>
    <row r="109" spans="1:16" ht="12.5">
      <c r="B109" s="160" t="str">
        <f t="shared" si="37"/>
        <v/>
      </c>
      <c r="C109" s="470">
        <f>IF(D93="","-",+C108+1)</f>
        <v>2019</v>
      </c>
      <c r="D109" s="471">
        <v>722749</v>
      </c>
      <c r="E109" s="478">
        <v>21801</v>
      </c>
      <c r="F109" s="477">
        <v>700948</v>
      </c>
      <c r="G109" s="477">
        <v>711848.5</v>
      </c>
      <c r="H109" s="478">
        <v>95202.564794457576</v>
      </c>
      <c r="I109" s="479">
        <v>95202.564794457576</v>
      </c>
      <c r="J109" s="476">
        <f t="shared" si="31"/>
        <v>0</v>
      </c>
      <c r="K109" s="476"/>
      <c r="L109" s="538">
        <f t="shared" si="41"/>
        <v>95202.564794457576</v>
      </c>
      <c r="M109" s="539">
        <f t="shared" ref="M109" si="46">IF(L109&lt;&gt;0,+H109-L109,0)</f>
        <v>0</v>
      </c>
      <c r="N109" s="538">
        <f t="shared" si="42"/>
        <v>95202.564794457576</v>
      </c>
      <c r="O109" s="476">
        <f t="shared" si="35"/>
        <v>0</v>
      </c>
      <c r="P109" s="476">
        <f t="shared" si="36"/>
        <v>0</v>
      </c>
    </row>
    <row r="110" spans="1:16" ht="12.5">
      <c r="B110" s="160" t="str">
        <f t="shared" si="37"/>
        <v/>
      </c>
      <c r="C110" s="470">
        <f>IF(D93="","-",+C109+1)</f>
        <v>2020</v>
      </c>
      <c r="D110" s="471">
        <v>700948</v>
      </c>
      <c r="E110" s="478">
        <v>20787</v>
      </c>
      <c r="F110" s="477">
        <v>680161</v>
      </c>
      <c r="G110" s="477">
        <v>690554.5</v>
      </c>
      <c r="H110" s="478">
        <v>100406.03532694498</v>
      </c>
      <c r="I110" s="479">
        <v>100406.03532694498</v>
      </c>
      <c r="J110" s="476">
        <f t="shared" si="31"/>
        <v>0</v>
      </c>
      <c r="K110" s="476"/>
      <c r="L110" s="538">
        <f t="shared" si="41"/>
        <v>100406.03532694498</v>
      </c>
      <c r="M110" s="539">
        <f t="shared" ref="M110" si="47">IF(L110&lt;&gt;0,+H110-L110,0)</f>
        <v>0</v>
      </c>
      <c r="N110" s="538">
        <f t="shared" si="42"/>
        <v>100406.03532694498</v>
      </c>
      <c r="O110" s="476">
        <f t="shared" si="35"/>
        <v>0</v>
      </c>
      <c r="P110" s="476">
        <f t="shared" si="36"/>
        <v>0</v>
      </c>
    </row>
    <row r="111" spans="1:16" ht="12.5">
      <c r="B111" s="160" t="str">
        <f t="shared" si="37"/>
        <v/>
      </c>
      <c r="C111" s="470">
        <f>IF(D93="","-",+C110+1)</f>
        <v>2021</v>
      </c>
      <c r="D111" s="471">
        <v>680161</v>
      </c>
      <c r="E111" s="478">
        <v>21801</v>
      </c>
      <c r="F111" s="477">
        <v>658360</v>
      </c>
      <c r="G111" s="477">
        <v>669260.5</v>
      </c>
      <c r="H111" s="478">
        <v>97958.021560633977</v>
      </c>
      <c r="I111" s="479">
        <v>97958.021560633977</v>
      </c>
      <c r="J111" s="476">
        <f t="shared" si="31"/>
        <v>0</v>
      </c>
      <c r="K111" s="476"/>
      <c r="L111" s="538">
        <f t="shared" ref="L111" si="48">H111</f>
        <v>97958.021560633977</v>
      </c>
      <c r="M111" s="539">
        <f t="shared" ref="M111" si="49">IF(L111&lt;&gt;0,+H111-L111,0)</f>
        <v>0</v>
      </c>
      <c r="N111" s="538">
        <f t="shared" ref="N111" si="50">I111</f>
        <v>97958.021560633977</v>
      </c>
      <c r="O111" s="476">
        <f t="shared" si="35"/>
        <v>0</v>
      </c>
      <c r="P111" s="476">
        <f t="shared" si="36"/>
        <v>0</v>
      </c>
    </row>
    <row r="112" spans="1:16" ht="12.5">
      <c r="B112" s="160" t="str">
        <f t="shared" si="37"/>
        <v/>
      </c>
      <c r="C112" s="470">
        <f>IF(D93="","-",+C111+1)</f>
        <v>2022</v>
      </c>
      <c r="D112" s="471">
        <v>658360</v>
      </c>
      <c r="E112" s="478">
        <v>22919</v>
      </c>
      <c r="F112" s="477">
        <v>635441</v>
      </c>
      <c r="G112" s="477">
        <v>646900.5</v>
      </c>
      <c r="H112" s="478">
        <v>94196.213236584284</v>
      </c>
      <c r="I112" s="479">
        <v>94196.213236584284</v>
      </c>
      <c r="J112" s="476">
        <f t="shared" si="31"/>
        <v>0</v>
      </c>
      <c r="K112" s="476"/>
      <c r="L112" s="538">
        <f t="shared" ref="L112" si="51">H112</f>
        <v>94196.213236584284</v>
      </c>
      <c r="M112" s="539">
        <f t="shared" ref="M112" si="52">IF(L112&lt;&gt;0,+H112-L112,0)</f>
        <v>0</v>
      </c>
      <c r="N112" s="538">
        <f t="shared" ref="N112" si="53">I112</f>
        <v>94196.213236584284</v>
      </c>
      <c r="O112" s="476">
        <f t="shared" ref="O112" si="54">IF(N112&lt;&gt;0,+I112-N112,0)</f>
        <v>0</v>
      </c>
      <c r="P112" s="476">
        <f t="shared" ref="P112" si="55">+O112-M112</f>
        <v>0</v>
      </c>
    </row>
    <row r="113" spans="2:16" ht="12.5">
      <c r="B113" s="160" t="str">
        <f t="shared" si="37"/>
        <v/>
      </c>
      <c r="C113" s="470">
        <f>IF(D93="","-",+C112+1)</f>
        <v>2023</v>
      </c>
      <c r="D113" s="345">
        <f>IF(F112+SUM(E$99:E112)=D$92,F112,D$92-SUM(E$99:E112))</f>
        <v>635441</v>
      </c>
      <c r="E113" s="484">
        <f>IF(+J96&lt;F112,J96,D113)</f>
        <v>23523</v>
      </c>
      <c r="F113" s="483">
        <f t="shared" ref="F113:F130" si="56">+D113-E113</f>
        <v>611918</v>
      </c>
      <c r="G113" s="483">
        <f t="shared" ref="G113:G130" si="57">+(F113+D113)/2</f>
        <v>623679.5</v>
      </c>
      <c r="H113" s="484">
        <f t="shared" ref="H113:H154" si="58">(D113+F113)/2*J$94+E113</f>
        <v>94764.071336101319</v>
      </c>
      <c r="I113" s="540">
        <f t="shared" ref="I113:I131" si="59">+J$95*G113+E113</f>
        <v>94764.071336101319</v>
      </c>
      <c r="J113" s="476">
        <f t="shared" si="31"/>
        <v>0</v>
      </c>
      <c r="K113" s="476"/>
      <c r="L113" s="485"/>
      <c r="M113" s="476">
        <f t="shared" si="33"/>
        <v>0</v>
      </c>
      <c r="N113" s="485"/>
      <c r="O113" s="476">
        <f t="shared" si="35"/>
        <v>0</v>
      </c>
      <c r="P113" s="476">
        <f t="shared" si="36"/>
        <v>0</v>
      </c>
    </row>
    <row r="114" spans="2:16" ht="12.5">
      <c r="B114" s="160" t="str">
        <f t="shared" si="37"/>
        <v/>
      </c>
      <c r="C114" s="470">
        <f>IF(D93="","-",+C113+1)</f>
        <v>2024</v>
      </c>
      <c r="D114" s="345">
        <f>IF(F113+SUM(E$99:E113)=D$92,F113,D$92-SUM(E$99:E113))</f>
        <v>611918</v>
      </c>
      <c r="E114" s="484">
        <f>IF(+J96&lt;F113,J96,D114)</f>
        <v>23523</v>
      </c>
      <c r="F114" s="483">
        <f t="shared" si="56"/>
        <v>588395</v>
      </c>
      <c r="G114" s="483">
        <f t="shared" si="57"/>
        <v>600156.5</v>
      </c>
      <c r="H114" s="484">
        <f t="shared" si="58"/>
        <v>92077.108367077788</v>
      </c>
      <c r="I114" s="540">
        <f t="shared" si="59"/>
        <v>92077.108367077788</v>
      </c>
      <c r="J114" s="476">
        <f t="shared" si="31"/>
        <v>0</v>
      </c>
      <c r="K114" s="476"/>
      <c r="L114" s="485"/>
      <c r="M114" s="476">
        <f t="shared" si="33"/>
        <v>0</v>
      </c>
      <c r="N114" s="485"/>
      <c r="O114" s="476">
        <f t="shared" si="35"/>
        <v>0</v>
      </c>
      <c r="P114" s="476">
        <f t="shared" si="36"/>
        <v>0</v>
      </c>
    </row>
    <row r="115" spans="2:16" ht="12.5">
      <c r="B115" s="160" t="str">
        <f t="shared" si="37"/>
        <v/>
      </c>
      <c r="C115" s="470">
        <f>IF(D93="","-",+C114+1)</f>
        <v>2025</v>
      </c>
      <c r="D115" s="345">
        <f>IF(F114+SUM(E$99:E114)=D$92,F114,D$92-SUM(E$99:E114))</f>
        <v>588395</v>
      </c>
      <c r="E115" s="484">
        <f>IF(+J96&lt;F114,J96,D115)</f>
        <v>23523</v>
      </c>
      <c r="F115" s="483">
        <f t="shared" si="56"/>
        <v>564872</v>
      </c>
      <c r="G115" s="483">
        <f t="shared" si="57"/>
        <v>576633.5</v>
      </c>
      <c r="H115" s="484">
        <f t="shared" si="58"/>
        <v>89390.145398054257</v>
      </c>
      <c r="I115" s="540">
        <f t="shared" si="59"/>
        <v>89390.145398054257</v>
      </c>
      <c r="J115" s="476">
        <f t="shared" si="31"/>
        <v>0</v>
      </c>
      <c r="K115" s="476"/>
      <c r="L115" s="485"/>
      <c r="M115" s="476">
        <f t="shared" si="33"/>
        <v>0</v>
      </c>
      <c r="N115" s="485"/>
      <c r="O115" s="476">
        <f t="shared" si="35"/>
        <v>0</v>
      </c>
      <c r="P115" s="476">
        <f t="shared" si="36"/>
        <v>0</v>
      </c>
    </row>
    <row r="116" spans="2:16" ht="12.5">
      <c r="B116" s="160" t="str">
        <f t="shared" si="37"/>
        <v/>
      </c>
      <c r="C116" s="470">
        <f>IF(D93="","-",+C115+1)</f>
        <v>2026</v>
      </c>
      <c r="D116" s="345">
        <f>IF(F115+SUM(E$99:E115)=D$92,F115,D$92-SUM(E$99:E115))</f>
        <v>564872</v>
      </c>
      <c r="E116" s="484">
        <f>IF(+J96&lt;F115,J96,D116)</f>
        <v>23523</v>
      </c>
      <c r="F116" s="483">
        <f t="shared" si="56"/>
        <v>541349</v>
      </c>
      <c r="G116" s="483">
        <f t="shared" si="57"/>
        <v>553110.5</v>
      </c>
      <c r="H116" s="484">
        <f t="shared" si="58"/>
        <v>86703.182429030712</v>
      </c>
      <c r="I116" s="540">
        <f t="shared" si="59"/>
        <v>86703.182429030712</v>
      </c>
      <c r="J116" s="476">
        <f t="shared" si="31"/>
        <v>0</v>
      </c>
      <c r="K116" s="476"/>
      <c r="L116" s="485"/>
      <c r="M116" s="476">
        <f t="shared" si="33"/>
        <v>0</v>
      </c>
      <c r="N116" s="485"/>
      <c r="O116" s="476">
        <f t="shared" si="35"/>
        <v>0</v>
      </c>
      <c r="P116" s="476">
        <f t="shared" si="36"/>
        <v>0</v>
      </c>
    </row>
    <row r="117" spans="2:16" ht="12.5">
      <c r="B117" s="160" t="str">
        <f t="shared" si="37"/>
        <v/>
      </c>
      <c r="C117" s="470">
        <f>IF(D93="","-",+C116+1)</f>
        <v>2027</v>
      </c>
      <c r="D117" s="345">
        <f>IF(F116+SUM(E$99:E116)=D$92,F116,D$92-SUM(E$99:E116))</f>
        <v>541349</v>
      </c>
      <c r="E117" s="484">
        <f>IF(+J96&lt;F116,J96,D117)</f>
        <v>23523</v>
      </c>
      <c r="F117" s="483">
        <f t="shared" si="56"/>
        <v>517826</v>
      </c>
      <c r="G117" s="483">
        <f t="shared" si="57"/>
        <v>529587.5</v>
      </c>
      <c r="H117" s="484">
        <f t="shared" si="58"/>
        <v>84016.219460007182</v>
      </c>
      <c r="I117" s="540">
        <f t="shared" si="59"/>
        <v>84016.219460007182</v>
      </c>
      <c r="J117" s="476">
        <f t="shared" si="31"/>
        <v>0</v>
      </c>
      <c r="K117" s="476"/>
      <c r="L117" s="485"/>
      <c r="M117" s="476">
        <f t="shared" si="33"/>
        <v>0</v>
      </c>
      <c r="N117" s="485"/>
      <c r="O117" s="476">
        <f t="shared" si="35"/>
        <v>0</v>
      </c>
      <c r="P117" s="476">
        <f t="shared" si="36"/>
        <v>0</v>
      </c>
    </row>
    <row r="118" spans="2:16" ht="12.5">
      <c r="B118" s="160" t="str">
        <f t="shared" si="37"/>
        <v/>
      </c>
      <c r="C118" s="470">
        <f>IF(D93="","-",+C117+1)</f>
        <v>2028</v>
      </c>
      <c r="D118" s="345">
        <f>IF(F117+SUM(E$99:E117)=D$92,F117,D$92-SUM(E$99:E117))</f>
        <v>517826</v>
      </c>
      <c r="E118" s="484">
        <f>IF(+J96&lt;F117,J96,D118)</f>
        <v>23523</v>
      </c>
      <c r="F118" s="483">
        <f t="shared" si="56"/>
        <v>494303</v>
      </c>
      <c r="G118" s="483">
        <f t="shared" si="57"/>
        <v>506064.5</v>
      </c>
      <c r="H118" s="484">
        <f t="shared" si="58"/>
        <v>81329.256490983651</v>
      </c>
      <c r="I118" s="540">
        <f t="shared" si="59"/>
        <v>81329.256490983651</v>
      </c>
      <c r="J118" s="476">
        <f t="shared" si="31"/>
        <v>0</v>
      </c>
      <c r="K118" s="476"/>
      <c r="L118" s="485"/>
      <c r="M118" s="476">
        <f t="shared" si="33"/>
        <v>0</v>
      </c>
      <c r="N118" s="485"/>
      <c r="O118" s="476">
        <f t="shared" si="35"/>
        <v>0</v>
      </c>
      <c r="P118" s="476">
        <f t="shared" si="36"/>
        <v>0</v>
      </c>
    </row>
    <row r="119" spans="2:16" ht="12.5">
      <c r="B119" s="160" t="str">
        <f t="shared" si="37"/>
        <v/>
      </c>
      <c r="C119" s="470">
        <f>IF(D93="","-",+C118+1)</f>
        <v>2029</v>
      </c>
      <c r="D119" s="345">
        <f>IF(F118+SUM(E$99:E118)=D$92,F118,D$92-SUM(E$99:E118))</f>
        <v>494303</v>
      </c>
      <c r="E119" s="484">
        <f>IF(+J96&lt;F118,J96,D119)</f>
        <v>23523</v>
      </c>
      <c r="F119" s="483">
        <f t="shared" si="56"/>
        <v>470780</v>
      </c>
      <c r="G119" s="483">
        <f t="shared" si="57"/>
        <v>482541.5</v>
      </c>
      <c r="H119" s="484">
        <f t="shared" si="58"/>
        <v>78642.29352196012</v>
      </c>
      <c r="I119" s="540">
        <f t="shared" si="59"/>
        <v>78642.29352196012</v>
      </c>
      <c r="J119" s="476">
        <f t="shared" si="31"/>
        <v>0</v>
      </c>
      <c r="K119" s="476"/>
      <c r="L119" s="485"/>
      <c r="M119" s="476">
        <f t="shared" si="33"/>
        <v>0</v>
      </c>
      <c r="N119" s="485"/>
      <c r="O119" s="476">
        <f t="shared" si="35"/>
        <v>0</v>
      </c>
      <c r="P119" s="476">
        <f t="shared" si="36"/>
        <v>0</v>
      </c>
    </row>
    <row r="120" spans="2:16" ht="12.5">
      <c r="B120" s="160" t="str">
        <f t="shared" si="37"/>
        <v/>
      </c>
      <c r="C120" s="470">
        <f>IF(D93="","-",+C119+1)</f>
        <v>2030</v>
      </c>
      <c r="D120" s="345">
        <f>IF(F119+SUM(E$99:E119)=D$92,F119,D$92-SUM(E$99:E119))</f>
        <v>470780</v>
      </c>
      <c r="E120" s="484">
        <f>IF(+J96&lt;F119,J96,D120)</f>
        <v>23523</v>
      </c>
      <c r="F120" s="483">
        <f t="shared" si="56"/>
        <v>447257</v>
      </c>
      <c r="G120" s="483">
        <f t="shared" si="57"/>
        <v>459018.5</v>
      </c>
      <c r="H120" s="484">
        <f t="shared" si="58"/>
        <v>75955.33055293659</v>
      </c>
      <c r="I120" s="540">
        <f t="shared" si="59"/>
        <v>75955.33055293659</v>
      </c>
      <c r="J120" s="476">
        <f t="shared" si="31"/>
        <v>0</v>
      </c>
      <c r="K120" s="476"/>
      <c r="L120" s="485"/>
      <c r="M120" s="476">
        <f t="shared" si="33"/>
        <v>0</v>
      </c>
      <c r="N120" s="485"/>
      <c r="O120" s="476">
        <f t="shared" si="35"/>
        <v>0</v>
      </c>
      <c r="P120" s="476">
        <f t="shared" si="36"/>
        <v>0</v>
      </c>
    </row>
    <row r="121" spans="2:16" ht="12.5">
      <c r="B121" s="160" t="str">
        <f t="shared" si="37"/>
        <v/>
      </c>
      <c r="C121" s="470">
        <f>IF(D93="","-",+C120+1)</f>
        <v>2031</v>
      </c>
      <c r="D121" s="345">
        <f>IF(F120+SUM(E$99:E120)=D$92,F120,D$92-SUM(E$99:E120))</f>
        <v>447257</v>
      </c>
      <c r="E121" s="484">
        <f>IF(+J96&lt;F120,J96,D121)</f>
        <v>23523</v>
      </c>
      <c r="F121" s="483">
        <f t="shared" si="56"/>
        <v>423734</v>
      </c>
      <c r="G121" s="483">
        <f t="shared" si="57"/>
        <v>435495.5</v>
      </c>
      <c r="H121" s="484">
        <f t="shared" si="58"/>
        <v>73268.367583913059</v>
      </c>
      <c r="I121" s="540">
        <f t="shared" si="59"/>
        <v>73268.367583913059</v>
      </c>
      <c r="J121" s="476">
        <f t="shared" si="31"/>
        <v>0</v>
      </c>
      <c r="K121" s="476"/>
      <c r="L121" s="485"/>
      <c r="M121" s="476">
        <f t="shared" si="33"/>
        <v>0</v>
      </c>
      <c r="N121" s="485"/>
      <c r="O121" s="476">
        <f t="shared" si="35"/>
        <v>0</v>
      </c>
      <c r="P121" s="476">
        <f t="shared" si="36"/>
        <v>0</v>
      </c>
    </row>
    <row r="122" spans="2:16" ht="12.5">
      <c r="B122" s="160" t="str">
        <f t="shared" si="37"/>
        <v/>
      </c>
      <c r="C122" s="470">
        <f>IF(D93="","-",+C121+1)</f>
        <v>2032</v>
      </c>
      <c r="D122" s="345">
        <f>IF(F121+SUM(E$99:E121)=D$92,F121,D$92-SUM(E$99:E121))</f>
        <v>423734</v>
      </c>
      <c r="E122" s="484">
        <f>IF(+J96&lt;F121,J96,D122)</f>
        <v>23523</v>
      </c>
      <c r="F122" s="483">
        <f t="shared" si="56"/>
        <v>400211</v>
      </c>
      <c r="G122" s="483">
        <f t="shared" si="57"/>
        <v>411972.5</v>
      </c>
      <c r="H122" s="484">
        <f t="shared" si="58"/>
        <v>70581.404614889529</v>
      </c>
      <c r="I122" s="540">
        <f t="shared" si="59"/>
        <v>70581.404614889529</v>
      </c>
      <c r="J122" s="476">
        <f t="shared" si="31"/>
        <v>0</v>
      </c>
      <c r="K122" s="476"/>
      <c r="L122" s="485"/>
      <c r="M122" s="476">
        <f t="shared" si="33"/>
        <v>0</v>
      </c>
      <c r="N122" s="485"/>
      <c r="O122" s="476">
        <f t="shared" si="35"/>
        <v>0</v>
      </c>
      <c r="P122" s="476">
        <f t="shared" si="36"/>
        <v>0</v>
      </c>
    </row>
    <row r="123" spans="2:16" ht="12.5">
      <c r="B123" s="160" t="str">
        <f t="shared" si="37"/>
        <v/>
      </c>
      <c r="C123" s="470">
        <f>IF(D93="","-",+C122+1)</f>
        <v>2033</v>
      </c>
      <c r="D123" s="345">
        <f>IF(F122+SUM(E$99:E122)=D$92,F122,D$92-SUM(E$99:E122))</f>
        <v>400211</v>
      </c>
      <c r="E123" s="484">
        <f>IF(+J96&lt;F122,J96,D123)</f>
        <v>23523</v>
      </c>
      <c r="F123" s="483">
        <f t="shared" si="56"/>
        <v>376688</v>
      </c>
      <c r="G123" s="483">
        <f t="shared" si="57"/>
        <v>388449.5</v>
      </c>
      <c r="H123" s="484">
        <f t="shared" si="58"/>
        <v>67894.441645865998</v>
      </c>
      <c r="I123" s="540">
        <f t="shared" si="59"/>
        <v>67894.441645865998</v>
      </c>
      <c r="J123" s="476">
        <f t="shared" si="31"/>
        <v>0</v>
      </c>
      <c r="K123" s="476"/>
      <c r="L123" s="485"/>
      <c r="M123" s="476">
        <f t="shared" si="33"/>
        <v>0</v>
      </c>
      <c r="N123" s="485"/>
      <c r="O123" s="476">
        <f t="shared" si="35"/>
        <v>0</v>
      </c>
      <c r="P123" s="476">
        <f t="shared" si="36"/>
        <v>0</v>
      </c>
    </row>
    <row r="124" spans="2:16" ht="12.5">
      <c r="B124" s="160" t="str">
        <f t="shared" si="37"/>
        <v/>
      </c>
      <c r="C124" s="470">
        <f>IF(D93="","-",+C123+1)</f>
        <v>2034</v>
      </c>
      <c r="D124" s="345">
        <f>IF(F123+SUM(E$99:E123)=D$92,F123,D$92-SUM(E$99:E123))</f>
        <v>376688</v>
      </c>
      <c r="E124" s="484">
        <f>IF(+J96&lt;F123,J96,D124)</f>
        <v>23523</v>
      </c>
      <c r="F124" s="483">
        <f t="shared" si="56"/>
        <v>353165</v>
      </c>
      <c r="G124" s="483">
        <f t="shared" si="57"/>
        <v>364926.5</v>
      </c>
      <c r="H124" s="484">
        <f t="shared" si="58"/>
        <v>65207.478676842475</v>
      </c>
      <c r="I124" s="540">
        <f t="shared" si="59"/>
        <v>65207.478676842475</v>
      </c>
      <c r="J124" s="476">
        <f t="shared" si="31"/>
        <v>0</v>
      </c>
      <c r="K124" s="476"/>
      <c r="L124" s="485"/>
      <c r="M124" s="476">
        <f t="shared" si="33"/>
        <v>0</v>
      </c>
      <c r="N124" s="485"/>
      <c r="O124" s="476">
        <f t="shared" si="35"/>
        <v>0</v>
      </c>
      <c r="P124" s="476">
        <f t="shared" si="36"/>
        <v>0</v>
      </c>
    </row>
    <row r="125" spans="2:16" ht="12.5">
      <c r="B125" s="160" t="str">
        <f t="shared" si="37"/>
        <v/>
      </c>
      <c r="C125" s="470">
        <f>IF(D93="","-",+C124+1)</f>
        <v>2035</v>
      </c>
      <c r="D125" s="345">
        <f>IF(F124+SUM(E$99:E124)=D$92,F124,D$92-SUM(E$99:E124))</f>
        <v>353165</v>
      </c>
      <c r="E125" s="484">
        <f>IF(+J96&lt;F124,J96,D125)</f>
        <v>23523</v>
      </c>
      <c r="F125" s="483">
        <f t="shared" si="56"/>
        <v>329642</v>
      </c>
      <c r="G125" s="483">
        <f t="shared" si="57"/>
        <v>341403.5</v>
      </c>
      <c r="H125" s="484">
        <f t="shared" si="58"/>
        <v>62520.515707818944</v>
      </c>
      <c r="I125" s="540">
        <f t="shared" si="59"/>
        <v>62520.515707818944</v>
      </c>
      <c r="J125" s="476">
        <f t="shared" si="31"/>
        <v>0</v>
      </c>
      <c r="K125" s="476"/>
      <c r="L125" s="485"/>
      <c r="M125" s="476">
        <f t="shared" si="33"/>
        <v>0</v>
      </c>
      <c r="N125" s="485"/>
      <c r="O125" s="476">
        <f t="shared" si="35"/>
        <v>0</v>
      </c>
      <c r="P125" s="476">
        <f t="shared" si="36"/>
        <v>0</v>
      </c>
    </row>
    <row r="126" spans="2:16" ht="12.5">
      <c r="B126" s="160" t="str">
        <f t="shared" si="37"/>
        <v/>
      </c>
      <c r="C126" s="470">
        <f>IF(D93="","-",+C125+1)</f>
        <v>2036</v>
      </c>
      <c r="D126" s="345">
        <f>IF(F125+SUM(E$99:E125)=D$92,F125,D$92-SUM(E$99:E125))</f>
        <v>329642</v>
      </c>
      <c r="E126" s="484">
        <f>IF(+J96&lt;F125,J96,D126)</f>
        <v>23523</v>
      </c>
      <c r="F126" s="483">
        <f t="shared" si="56"/>
        <v>306119</v>
      </c>
      <c r="G126" s="483">
        <f t="shared" si="57"/>
        <v>317880.5</v>
      </c>
      <c r="H126" s="484">
        <f t="shared" si="58"/>
        <v>59833.552738795413</v>
      </c>
      <c r="I126" s="540">
        <f t="shared" si="59"/>
        <v>59833.552738795413</v>
      </c>
      <c r="J126" s="476">
        <f t="shared" si="31"/>
        <v>0</v>
      </c>
      <c r="K126" s="476"/>
      <c r="L126" s="485"/>
      <c r="M126" s="476">
        <f t="shared" si="33"/>
        <v>0</v>
      </c>
      <c r="N126" s="485"/>
      <c r="O126" s="476">
        <f t="shared" si="35"/>
        <v>0</v>
      </c>
      <c r="P126" s="476">
        <f t="shared" si="36"/>
        <v>0</v>
      </c>
    </row>
    <row r="127" spans="2:16" ht="12.5">
      <c r="B127" s="160" t="str">
        <f t="shared" si="37"/>
        <v/>
      </c>
      <c r="C127" s="470">
        <f>IF(D93="","-",+C126+1)</f>
        <v>2037</v>
      </c>
      <c r="D127" s="345">
        <f>IF(F126+SUM(E$99:E126)=D$92,F126,D$92-SUM(E$99:E126))</f>
        <v>306119</v>
      </c>
      <c r="E127" s="484">
        <f>IF(+J96&lt;F126,J96,D127)</f>
        <v>23523</v>
      </c>
      <c r="F127" s="483">
        <f t="shared" si="56"/>
        <v>282596</v>
      </c>
      <c r="G127" s="483">
        <f t="shared" si="57"/>
        <v>294357.5</v>
      </c>
      <c r="H127" s="484">
        <f t="shared" si="58"/>
        <v>57146.589769771883</v>
      </c>
      <c r="I127" s="540">
        <f t="shared" si="59"/>
        <v>57146.589769771883</v>
      </c>
      <c r="J127" s="476">
        <f t="shared" si="31"/>
        <v>0</v>
      </c>
      <c r="K127" s="476"/>
      <c r="L127" s="485"/>
      <c r="M127" s="476">
        <f t="shared" si="33"/>
        <v>0</v>
      </c>
      <c r="N127" s="485"/>
      <c r="O127" s="476">
        <f t="shared" si="35"/>
        <v>0</v>
      </c>
      <c r="P127" s="476">
        <f t="shared" si="36"/>
        <v>0</v>
      </c>
    </row>
    <row r="128" spans="2:16" ht="12.5">
      <c r="B128" s="160" t="str">
        <f t="shared" si="37"/>
        <v/>
      </c>
      <c r="C128" s="470">
        <f>IF(D93="","-",+C127+1)</f>
        <v>2038</v>
      </c>
      <c r="D128" s="345">
        <f>IF(F127+SUM(E$99:E127)=D$92,F127,D$92-SUM(E$99:E127))</f>
        <v>282596</v>
      </c>
      <c r="E128" s="484">
        <f>IF(+J96&lt;F127,J96,D128)</f>
        <v>23523</v>
      </c>
      <c r="F128" s="483">
        <f t="shared" si="56"/>
        <v>259073</v>
      </c>
      <c r="G128" s="483">
        <f t="shared" si="57"/>
        <v>270834.5</v>
      </c>
      <c r="H128" s="484">
        <f t="shared" si="58"/>
        <v>54459.626800748352</v>
      </c>
      <c r="I128" s="540">
        <f t="shared" si="59"/>
        <v>54459.626800748352</v>
      </c>
      <c r="J128" s="476">
        <f t="shared" si="31"/>
        <v>0</v>
      </c>
      <c r="K128" s="476"/>
      <c r="L128" s="485"/>
      <c r="M128" s="476">
        <f t="shared" si="33"/>
        <v>0</v>
      </c>
      <c r="N128" s="485"/>
      <c r="O128" s="476">
        <f t="shared" si="35"/>
        <v>0</v>
      </c>
      <c r="P128" s="476">
        <f t="shared" si="36"/>
        <v>0</v>
      </c>
    </row>
    <row r="129" spans="2:16" ht="12.5">
      <c r="B129" s="160" t="str">
        <f t="shared" si="37"/>
        <v/>
      </c>
      <c r="C129" s="470">
        <f>IF(D93="","-",+C128+1)</f>
        <v>2039</v>
      </c>
      <c r="D129" s="345">
        <f>IF(F128+SUM(E$99:E128)=D$92,F128,D$92-SUM(E$99:E128))</f>
        <v>259073</v>
      </c>
      <c r="E129" s="484">
        <f>IF(+J96&lt;F128,J96,D129)</f>
        <v>23523</v>
      </c>
      <c r="F129" s="483">
        <f t="shared" si="56"/>
        <v>235550</v>
      </c>
      <c r="G129" s="483">
        <f t="shared" si="57"/>
        <v>247311.5</v>
      </c>
      <c r="H129" s="484">
        <f t="shared" si="58"/>
        <v>51772.663831724822</v>
      </c>
      <c r="I129" s="540">
        <f t="shared" si="59"/>
        <v>51772.663831724822</v>
      </c>
      <c r="J129" s="476">
        <f t="shared" si="31"/>
        <v>0</v>
      </c>
      <c r="K129" s="476"/>
      <c r="L129" s="485"/>
      <c r="M129" s="476">
        <f t="shared" si="33"/>
        <v>0</v>
      </c>
      <c r="N129" s="485"/>
      <c r="O129" s="476">
        <f t="shared" si="35"/>
        <v>0</v>
      </c>
      <c r="P129" s="476">
        <f t="shared" si="36"/>
        <v>0</v>
      </c>
    </row>
    <row r="130" spans="2:16" ht="12.5">
      <c r="B130" s="160" t="str">
        <f t="shared" si="37"/>
        <v/>
      </c>
      <c r="C130" s="470">
        <f>IF(D93="","-",+C129+1)</f>
        <v>2040</v>
      </c>
      <c r="D130" s="345">
        <f>IF(F129+SUM(E$99:E129)=D$92,F129,D$92-SUM(E$99:E129))</f>
        <v>235550</v>
      </c>
      <c r="E130" s="484">
        <f>IF(+J96&lt;F129,J96,D130)</f>
        <v>23523</v>
      </c>
      <c r="F130" s="483">
        <f t="shared" si="56"/>
        <v>212027</v>
      </c>
      <c r="G130" s="483">
        <f t="shared" si="57"/>
        <v>223788.5</v>
      </c>
      <c r="H130" s="484">
        <f t="shared" si="58"/>
        <v>49085.700862701291</v>
      </c>
      <c r="I130" s="540">
        <f t="shared" si="59"/>
        <v>49085.700862701291</v>
      </c>
      <c r="J130" s="476">
        <f t="shared" si="31"/>
        <v>0</v>
      </c>
      <c r="K130" s="476"/>
      <c r="L130" s="485"/>
      <c r="M130" s="476">
        <f t="shared" si="33"/>
        <v>0</v>
      </c>
      <c r="N130" s="485"/>
      <c r="O130" s="476">
        <f t="shared" si="35"/>
        <v>0</v>
      </c>
      <c r="P130" s="476">
        <f t="shared" si="36"/>
        <v>0</v>
      </c>
    </row>
    <row r="131" spans="2:16" ht="12.5">
      <c r="B131" s="160" t="str">
        <f t="shared" si="37"/>
        <v/>
      </c>
      <c r="C131" s="470">
        <f>IF(D93="","-",+C130+1)</f>
        <v>2041</v>
      </c>
      <c r="D131" s="345">
        <f>IF(F130+SUM(E$99:E130)=D$92,F130,D$92-SUM(E$99:E130))</f>
        <v>212027</v>
      </c>
      <c r="E131" s="484">
        <f>IF(+J96&lt;F130,J96,D131)</f>
        <v>23523</v>
      </c>
      <c r="F131" s="483">
        <f t="shared" ref="F131:F154" si="60">+D131-E131</f>
        <v>188504</v>
      </c>
      <c r="G131" s="483">
        <f t="shared" ref="G131:G154" si="61">+(F131+D131)/2</f>
        <v>200265.5</v>
      </c>
      <c r="H131" s="484">
        <f t="shared" si="58"/>
        <v>46398.73789367776</v>
      </c>
      <c r="I131" s="540">
        <f t="shared" si="59"/>
        <v>46398.73789367776</v>
      </c>
      <c r="J131" s="476">
        <f t="shared" ref="J131:J154" si="62">+I131-H131</f>
        <v>0</v>
      </c>
      <c r="K131" s="476"/>
      <c r="L131" s="485"/>
      <c r="M131" s="476">
        <f t="shared" ref="M131:M154" si="63">IF(L131&lt;&gt;0,+H131-L131,0)</f>
        <v>0</v>
      </c>
      <c r="N131" s="485"/>
      <c r="O131" s="476">
        <f t="shared" ref="O131:O154" si="64">IF(N131&lt;&gt;0,+I131-N131,0)</f>
        <v>0</v>
      </c>
      <c r="P131" s="476">
        <f t="shared" ref="P131:P154" si="65">+O131-M131</f>
        <v>0</v>
      </c>
    </row>
    <row r="132" spans="2:16" ht="12.5">
      <c r="B132" s="160" t="str">
        <f t="shared" si="37"/>
        <v/>
      </c>
      <c r="C132" s="470">
        <f>IF(D93="","-",+C131+1)</f>
        <v>2042</v>
      </c>
      <c r="D132" s="345">
        <f>IF(F131+SUM(E$99:E131)=D$92,F131,D$92-SUM(E$99:E131))</f>
        <v>188504</v>
      </c>
      <c r="E132" s="484">
        <f>IF(+J96&lt;F131,J96,D132)</f>
        <v>23523</v>
      </c>
      <c r="F132" s="483">
        <f t="shared" si="60"/>
        <v>164981</v>
      </c>
      <c r="G132" s="483">
        <f t="shared" si="61"/>
        <v>176742.5</v>
      </c>
      <c r="H132" s="484">
        <f t="shared" si="58"/>
        <v>43711.77492465423</v>
      </c>
      <c r="I132" s="540">
        <f t="shared" ref="I132:I154" si="66">+J$95*G132+E132</f>
        <v>43711.77492465423</v>
      </c>
      <c r="J132" s="476">
        <f t="shared" si="62"/>
        <v>0</v>
      </c>
      <c r="K132" s="476"/>
      <c r="L132" s="485"/>
      <c r="M132" s="476">
        <f t="shared" si="63"/>
        <v>0</v>
      </c>
      <c r="N132" s="485"/>
      <c r="O132" s="476">
        <f t="shared" si="64"/>
        <v>0</v>
      </c>
      <c r="P132" s="476">
        <f t="shared" si="65"/>
        <v>0</v>
      </c>
    </row>
    <row r="133" spans="2:16" ht="12.5">
      <c r="B133" s="160" t="str">
        <f t="shared" si="37"/>
        <v/>
      </c>
      <c r="C133" s="470">
        <f>IF(D93="","-",+C132+1)</f>
        <v>2043</v>
      </c>
      <c r="D133" s="345">
        <f>IF(F132+SUM(E$99:E132)=D$92,F132,D$92-SUM(E$99:E132))</f>
        <v>164981</v>
      </c>
      <c r="E133" s="484">
        <f>IF(+J96&lt;F132,J96,D133)</f>
        <v>23523</v>
      </c>
      <c r="F133" s="483">
        <f t="shared" si="60"/>
        <v>141458</v>
      </c>
      <c r="G133" s="483">
        <f t="shared" si="61"/>
        <v>153219.5</v>
      </c>
      <c r="H133" s="484">
        <f t="shared" si="58"/>
        <v>41024.811955630692</v>
      </c>
      <c r="I133" s="540">
        <f t="shared" si="66"/>
        <v>41024.811955630692</v>
      </c>
      <c r="J133" s="476">
        <f t="shared" si="62"/>
        <v>0</v>
      </c>
      <c r="K133" s="476"/>
      <c r="L133" s="485"/>
      <c r="M133" s="476">
        <f t="shared" si="63"/>
        <v>0</v>
      </c>
      <c r="N133" s="485"/>
      <c r="O133" s="476">
        <f t="shared" si="64"/>
        <v>0</v>
      </c>
      <c r="P133" s="476">
        <f t="shared" si="65"/>
        <v>0</v>
      </c>
    </row>
    <row r="134" spans="2:16" ht="12.5">
      <c r="B134" s="160" t="str">
        <f t="shared" si="37"/>
        <v/>
      </c>
      <c r="C134" s="470">
        <f>IF(D93="","-",+C133+1)</f>
        <v>2044</v>
      </c>
      <c r="D134" s="345">
        <f>IF(F133+SUM(E$99:E133)=D$92,F133,D$92-SUM(E$99:E133))</f>
        <v>141458</v>
      </c>
      <c r="E134" s="484">
        <f>IF(+J96&lt;F133,J96,D134)</f>
        <v>23523</v>
      </c>
      <c r="F134" s="483">
        <f t="shared" si="60"/>
        <v>117935</v>
      </c>
      <c r="G134" s="483">
        <f t="shared" si="61"/>
        <v>129696.5</v>
      </c>
      <c r="H134" s="484">
        <f t="shared" si="58"/>
        <v>38337.848986607169</v>
      </c>
      <c r="I134" s="540">
        <f t="shared" si="66"/>
        <v>38337.848986607169</v>
      </c>
      <c r="J134" s="476">
        <f t="shared" si="62"/>
        <v>0</v>
      </c>
      <c r="K134" s="476"/>
      <c r="L134" s="485"/>
      <c r="M134" s="476">
        <f t="shared" si="63"/>
        <v>0</v>
      </c>
      <c r="N134" s="485"/>
      <c r="O134" s="476">
        <f t="shared" si="64"/>
        <v>0</v>
      </c>
      <c r="P134" s="476">
        <f t="shared" si="65"/>
        <v>0</v>
      </c>
    </row>
    <row r="135" spans="2:16" ht="12.5">
      <c r="B135" s="160" t="str">
        <f t="shared" si="37"/>
        <v/>
      </c>
      <c r="C135" s="470">
        <f>IF(D93="","-",+C134+1)</f>
        <v>2045</v>
      </c>
      <c r="D135" s="345">
        <f>IF(F134+SUM(E$99:E134)=D$92,F134,D$92-SUM(E$99:E134))</f>
        <v>117935</v>
      </c>
      <c r="E135" s="484">
        <f>IF(+J96&lt;F134,J96,D135)</f>
        <v>23523</v>
      </c>
      <c r="F135" s="483">
        <f t="shared" si="60"/>
        <v>94412</v>
      </c>
      <c r="G135" s="483">
        <f t="shared" si="61"/>
        <v>106173.5</v>
      </c>
      <c r="H135" s="484">
        <f t="shared" si="58"/>
        <v>35650.886017583638</v>
      </c>
      <c r="I135" s="540">
        <f t="shared" si="66"/>
        <v>35650.886017583638</v>
      </c>
      <c r="J135" s="476">
        <f t="shared" si="62"/>
        <v>0</v>
      </c>
      <c r="K135" s="476"/>
      <c r="L135" s="485"/>
      <c r="M135" s="476">
        <f t="shared" si="63"/>
        <v>0</v>
      </c>
      <c r="N135" s="485"/>
      <c r="O135" s="476">
        <f t="shared" si="64"/>
        <v>0</v>
      </c>
      <c r="P135" s="476">
        <f t="shared" si="65"/>
        <v>0</v>
      </c>
    </row>
    <row r="136" spans="2:16" ht="12.5">
      <c r="B136" s="160" t="str">
        <f t="shared" si="37"/>
        <v/>
      </c>
      <c r="C136" s="470">
        <f>IF(D93="","-",+C135+1)</f>
        <v>2046</v>
      </c>
      <c r="D136" s="345">
        <f>IF(F135+SUM(E$99:E135)=D$92,F135,D$92-SUM(E$99:E135))</f>
        <v>94412</v>
      </c>
      <c r="E136" s="484">
        <f>IF(+J96&lt;F135,J96,D136)</f>
        <v>23523</v>
      </c>
      <c r="F136" s="483">
        <f t="shared" si="60"/>
        <v>70889</v>
      </c>
      <c r="G136" s="483">
        <f t="shared" si="61"/>
        <v>82650.5</v>
      </c>
      <c r="H136" s="484">
        <f t="shared" si="58"/>
        <v>32963.9230485601</v>
      </c>
      <c r="I136" s="540">
        <f t="shared" si="66"/>
        <v>32963.9230485601</v>
      </c>
      <c r="J136" s="476">
        <f t="shared" si="62"/>
        <v>0</v>
      </c>
      <c r="K136" s="476"/>
      <c r="L136" s="485"/>
      <c r="M136" s="476">
        <f t="shared" si="63"/>
        <v>0</v>
      </c>
      <c r="N136" s="485"/>
      <c r="O136" s="476">
        <f t="shared" si="64"/>
        <v>0</v>
      </c>
      <c r="P136" s="476">
        <f t="shared" si="65"/>
        <v>0</v>
      </c>
    </row>
    <row r="137" spans="2:16" ht="12.5">
      <c r="B137" s="160" t="str">
        <f t="shared" si="37"/>
        <v/>
      </c>
      <c r="C137" s="470">
        <f>IF(D93="","-",+C136+1)</f>
        <v>2047</v>
      </c>
      <c r="D137" s="345">
        <f>IF(F136+SUM(E$99:E136)=D$92,F136,D$92-SUM(E$99:E136))</f>
        <v>70889</v>
      </c>
      <c r="E137" s="484">
        <f>IF(+J96&lt;F136,J96,D137)</f>
        <v>23523</v>
      </c>
      <c r="F137" s="483">
        <f t="shared" si="60"/>
        <v>47366</v>
      </c>
      <c r="G137" s="483">
        <f t="shared" si="61"/>
        <v>59127.5</v>
      </c>
      <c r="H137" s="484">
        <f t="shared" si="58"/>
        <v>30276.960079536573</v>
      </c>
      <c r="I137" s="540">
        <f t="shared" si="66"/>
        <v>30276.960079536573</v>
      </c>
      <c r="J137" s="476">
        <f t="shared" si="62"/>
        <v>0</v>
      </c>
      <c r="K137" s="476"/>
      <c r="L137" s="485"/>
      <c r="M137" s="476">
        <f t="shared" si="63"/>
        <v>0</v>
      </c>
      <c r="N137" s="485"/>
      <c r="O137" s="476">
        <f t="shared" si="64"/>
        <v>0</v>
      </c>
      <c r="P137" s="476">
        <f t="shared" si="65"/>
        <v>0</v>
      </c>
    </row>
    <row r="138" spans="2:16" ht="12.5">
      <c r="B138" s="160" t="str">
        <f t="shared" si="37"/>
        <v/>
      </c>
      <c r="C138" s="470">
        <f>IF(D93="","-",+C137+1)</f>
        <v>2048</v>
      </c>
      <c r="D138" s="345">
        <f>IF(F137+SUM(E$99:E137)=D$92,F137,D$92-SUM(E$99:E137))</f>
        <v>47366</v>
      </c>
      <c r="E138" s="484">
        <f>IF(+J96&lt;F137,J96,D138)</f>
        <v>23523</v>
      </c>
      <c r="F138" s="483">
        <f t="shared" si="60"/>
        <v>23843</v>
      </c>
      <c r="G138" s="483">
        <f t="shared" si="61"/>
        <v>35604.5</v>
      </c>
      <c r="H138" s="484">
        <f t="shared" si="58"/>
        <v>27589.997110513043</v>
      </c>
      <c r="I138" s="540">
        <f t="shared" si="66"/>
        <v>27589.997110513043</v>
      </c>
      <c r="J138" s="476">
        <f t="shared" si="62"/>
        <v>0</v>
      </c>
      <c r="K138" s="476"/>
      <c r="L138" s="485"/>
      <c r="M138" s="476">
        <f t="shared" si="63"/>
        <v>0</v>
      </c>
      <c r="N138" s="485"/>
      <c r="O138" s="476">
        <f t="shared" si="64"/>
        <v>0</v>
      </c>
      <c r="P138" s="476">
        <f t="shared" si="65"/>
        <v>0</v>
      </c>
    </row>
    <row r="139" spans="2:16" ht="12.5">
      <c r="B139" s="160" t="str">
        <f t="shared" si="37"/>
        <v/>
      </c>
      <c r="C139" s="470">
        <f>IF(D93="","-",+C138+1)</f>
        <v>2049</v>
      </c>
      <c r="D139" s="345">
        <f>IF(F138+SUM(E$99:E138)=D$92,F138,D$92-SUM(E$99:E138))</f>
        <v>23843</v>
      </c>
      <c r="E139" s="484">
        <f>IF(+J96&lt;F138,J96,D139)</f>
        <v>23523</v>
      </c>
      <c r="F139" s="483">
        <f t="shared" si="60"/>
        <v>320</v>
      </c>
      <c r="G139" s="483">
        <f t="shared" si="61"/>
        <v>12081.5</v>
      </c>
      <c r="H139" s="484">
        <f t="shared" si="58"/>
        <v>24903.034141489512</v>
      </c>
      <c r="I139" s="540">
        <f t="shared" si="66"/>
        <v>24903.034141489512</v>
      </c>
      <c r="J139" s="476">
        <f t="shared" si="62"/>
        <v>0</v>
      </c>
      <c r="K139" s="476"/>
      <c r="L139" s="485"/>
      <c r="M139" s="476">
        <f t="shared" si="63"/>
        <v>0</v>
      </c>
      <c r="N139" s="485"/>
      <c r="O139" s="476">
        <f t="shared" si="64"/>
        <v>0</v>
      </c>
      <c r="P139" s="476">
        <f t="shared" si="65"/>
        <v>0</v>
      </c>
    </row>
    <row r="140" spans="2:16" ht="12.5">
      <c r="B140" s="160" t="str">
        <f t="shared" si="37"/>
        <v/>
      </c>
      <c r="C140" s="470">
        <f>IF(D93="","-",+C139+1)</f>
        <v>2050</v>
      </c>
      <c r="D140" s="345">
        <f>IF(F139+SUM(E$99:E139)=D$92,F139,D$92-SUM(E$99:E139))</f>
        <v>320</v>
      </c>
      <c r="E140" s="484">
        <f>IF(+J96&lt;F139,J96,D140)</f>
        <v>320</v>
      </c>
      <c r="F140" s="483">
        <f t="shared" si="60"/>
        <v>0</v>
      </c>
      <c r="G140" s="483">
        <f t="shared" si="61"/>
        <v>160</v>
      </c>
      <c r="H140" s="484">
        <f t="shared" si="58"/>
        <v>338.27632848887322</v>
      </c>
      <c r="I140" s="540">
        <f t="shared" si="66"/>
        <v>338.27632848887322</v>
      </c>
      <c r="J140" s="476">
        <f t="shared" si="62"/>
        <v>0</v>
      </c>
      <c r="K140" s="476"/>
      <c r="L140" s="485"/>
      <c r="M140" s="476">
        <f t="shared" si="63"/>
        <v>0</v>
      </c>
      <c r="N140" s="485"/>
      <c r="O140" s="476">
        <f t="shared" si="64"/>
        <v>0</v>
      </c>
      <c r="P140" s="476">
        <f t="shared" si="65"/>
        <v>0</v>
      </c>
    </row>
    <row r="141" spans="2:16" ht="12.5">
      <c r="B141" s="160" t="str">
        <f t="shared" si="37"/>
        <v/>
      </c>
      <c r="C141" s="470">
        <f>IF(D93="","-",+C140+1)</f>
        <v>2051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60"/>
        <v>0</v>
      </c>
      <c r="G141" s="483">
        <f t="shared" si="61"/>
        <v>0</v>
      </c>
      <c r="H141" s="484">
        <f t="shared" si="58"/>
        <v>0</v>
      </c>
      <c r="I141" s="540">
        <f t="shared" si="66"/>
        <v>0</v>
      </c>
      <c r="J141" s="476">
        <f t="shared" si="62"/>
        <v>0</v>
      </c>
      <c r="K141" s="476"/>
      <c r="L141" s="485"/>
      <c r="M141" s="476">
        <f t="shared" si="63"/>
        <v>0</v>
      </c>
      <c r="N141" s="485"/>
      <c r="O141" s="476">
        <f t="shared" si="64"/>
        <v>0</v>
      </c>
      <c r="P141" s="476">
        <f t="shared" si="65"/>
        <v>0</v>
      </c>
    </row>
    <row r="142" spans="2:16" ht="12.5">
      <c r="B142" s="160" t="str">
        <f t="shared" si="37"/>
        <v/>
      </c>
      <c r="C142" s="470">
        <f>IF(D93="","-",+C141+1)</f>
        <v>2052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60"/>
        <v>0</v>
      </c>
      <c r="G142" s="483">
        <f t="shared" si="61"/>
        <v>0</v>
      </c>
      <c r="H142" s="484">
        <f t="shared" si="58"/>
        <v>0</v>
      </c>
      <c r="I142" s="540">
        <f t="shared" si="66"/>
        <v>0</v>
      </c>
      <c r="J142" s="476">
        <f t="shared" si="62"/>
        <v>0</v>
      </c>
      <c r="K142" s="476"/>
      <c r="L142" s="485"/>
      <c r="M142" s="476">
        <f t="shared" si="63"/>
        <v>0</v>
      </c>
      <c r="N142" s="485"/>
      <c r="O142" s="476">
        <f t="shared" si="64"/>
        <v>0</v>
      </c>
      <c r="P142" s="476">
        <f t="shared" si="65"/>
        <v>0</v>
      </c>
    </row>
    <row r="143" spans="2:16" ht="12.5">
      <c r="B143" s="160" t="str">
        <f t="shared" si="37"/>
        <v/>
      </c>
      <c r="C143" s="470">
        <f>IF(D93="","-",+C142+1)</f>
        <v>2053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60"/>
        <v>0</v>
      </c>
      <c r="G143" s="483">
        <f t="shared" si="61"/>
        <v>0</v>
      </c>
      <c r="H143" s="484">
        <f t="shared" si="58"/>
        <v>0</v>
      </c>
      <c r="I143" s="540">
        <f t="shared" si="66"/>
        <v>0</v>
      </c>
      <c r="J143" s="476">
        <f t="shared" si="62"/>
        <v>0</v>
      </c>
      <c r="K143" s="476"/>
      <c r="L143" s="485"/>
      <c r="M143" s="476">
        <f t="shared" si="63"/>
        <v>0</v>
      </c>
      <c r="N143" s="485"/>
      <c r="O143" s="476">
        <f t="shared" si="64"/>
        <v>0</v>
      </c>
      <c r="P143" s="476">
        <f t="shared" si="65"/>
        <v>0</v>
      </c>
    </row>
    <row r="144" spans="2:16" ht="12.5">
      <c r="B144" s="160" t="str">
        <f t="shared" si="37"/>
        <v/>
      </c>
      <c r="C144" s="470">
        <f>IF(D93="","-",+C143+1)</f>
        <v>2054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60"/>
        <v>0</v>
      </c>
      <c r="G144" s="483">
        <f t="shared" si="61"/>
        <v>0</v>
      </c>
      <c r="H144" s="484">
        <f t="shared" si="58"/>
        <v>0</v>
      </c>
      <c r="I144" s="540">
        <f t="shared" si="66"/>
        <v>0</v>
      </c>
      <c r="J144" s="476">
        <f t="shared" si="62"/>
        <v>0</v>
      </c>
      <c r="K144" s="476"/>
      <c r="L144" s="485"/>
      <c r="M144" s="476">
        <f t="shared" si="63"/>
        <v>0</v>
      </c>
      <c r="N144" s="485"/>
      <c r="O144" s="476">
        <f t="shared" si="64"/>
        <v>0</v>
      </c>
      <c r="P144" s="476">
        <f t="shared" si="65"/>
        <v>0</v>
      </c>
    </row>
    <row r="145" spans="2:16" ht="12.5">
      <c r="B145" s="160" t="str">
        <f t="shared" si="37"/>
        <v/>
      </c>
      <c r="C145" s="470">
        <f>IF(D93="","-",+C144+1)</f>
        <v>2055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60"/>
        <v>0</v>
      </c>
      <c r="G145" s="483">
        <f t="shared" si="61"/>
        <v>0</v>
      </c>
      <c r="H145" s="484">
        <f t="shared" si="58"/>
        <v>0</v>
      </c>
      <c r="I145" s="540">
        <f t="shared" si="66"/>
        <v>0</v>
      </c>
      <c r="J145" s="476">
        <f t="shared" si="62"/>
        <v>0</v>
      </c>
      <c r="K145" s="476"/>
      <c r="L145" s="485"/>
      <c r="M145" s="476">
        <f t="shared" si="63"/>
        <v>0</v>
      </c>
      <c r="N145" s="485"/>
      <c r="O145" s="476">
        <f t="shared" si="64"/>
        <v>0</v>
      </c>
      <c r="P145" s="476">
        <f t="shared" si="65"/>
        <v>0</v>
      </c>
    </row>
    <row r="146" spans="2:16" ht="12.5">
      <c r="B146" s="160" t="str">
        <f t="shared" si="37"/>
        <v/>
      </c>
      <c r="C146" s="470">
        <f>IF(D93="","-",+C145+1)</f>
        <v>2056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60"/>
        <v>0</v>
      </c>
      <c r="G146" s="483">
        <f t="shared" si="61"/>
        <v>0</v>
      </c>
      <c r="H146" s="484">
        <f t="shared" si="58"/>
        <v>0</v>
      </c>
      <c r="I146" s="540">
        <f t="shared" si="66"/>
        <v>0</v>
      </c>
      <c r="J146" s="476">
        <f t="shared" si="62"/>
        <v>0</v>
      </c>
      <c r="K146" s="476"/>
      <c r="L146" s="485"/>
      <c r="M146" s="476">
        <f t="shared" si="63"/>
        <v>0</v>
      </c>
      <c r="N146" s="485"/>
      <c r="O146" s="476">
        <f t="shared" si="64"/>
        <v>0</v>
      </c>
      <c r="P146" s="476">
        <f t="shared" si="65"/>
        <v>0</v>
      </c>
    </row>
    <row r="147" spans="2:16" ht="12.5">
      <c r="B147" s="160" t="str">
        <f t="shared" si="37"/>
        <v/>
      </c>
      <c r="C147" s="470">
        <f>IF(D93="","-",+C146+1)</f>
        <v>2057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60"/>
        <v>0</v>
      </c>
      <c r="G147" s="483">
        <f t="shared" si="61"/>
        <v>0</v>
      </c>
      <c r="H147" s="484">
        <f t="shared" si="58"/>
        <v>0</v>
      </c>
      <c r="I147" s="540">
        <f t="shared" si="66"/>
        <v>0</v>
      </c>
      <c r="J147" s="476">
        <f t="shared" si="62"/>
        <v>0</v>
      </c>
      <c r="K147" s="476"/>
      <c r="L147" s="485"/>
      <c r="M147" s="476">
        <f t="shared" si="63"/>
        <v>0</v>
      </c>
      <c r="N147" s="485"/>
      <c r="O147" s="476">
        <f t="shared" si="64"/>
        <v>0</v>
      </c>
      <c r="P147" s="476">
        <f t="shared" si="65"/>
        <v>0</v>
      </c>
    </row>
    <row r="148" spans="2:16" ht="12.5">
      <c r="B148" s="160" t="str">
        <f t="shared" si="37"/>
        <v/>
      </c>
      <c r="C148" s="470">
        <f>IF(D93="","-",+C147+1)</f>
        <v>2058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60"/>
        <v>0</v>
      </c>
      <c r="G148" s="483">
        <f t="shared" si="61"/>
        <v>0</v>
      </c>
      <c r="H148" s="484">
        <f t="shared" si="58"/>
        <v>0</v>
      </c>
      <c r="I148" s="540">
        <f t="shared" si="66"/>
        <v>0</v>
      </c>
      <c r="J148" s="476">
        <f t="shared" si="62"/>
        <v>0</v>
      </c>
      <c r="K148" s="476"/>
      <c r="L148" s="485"/>
      <c r="M148" s="476">
        <f t="shared" si="63"/>
        <v>0</v>
      </c>
      <c r="N148" s="485"/>
      <c r="O148" s="476">
        <f t="shared" si="64"/>
        <v>0</v>
      </c>
      <c r="P148" s="476">
        <f t="shared" si="65"/>
        <v>0</v>
      </c>
    </row>
    <row r="149" spans="2:16" ht="12.5">
      <c r="B149" s="160" t="str">
        <f t="shared" si="37"/>
        <v/>
      </c>
      <c r="C149" s="470">
        <f>IF(D93="","-",+C148+1)</f>
        <v>2059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60"/>
        <v>0</v>
      </c>
      <c r="G149" s="483">
        <f t="shared" si="61"/>
        <v>0</v>
      </c>
      <c r="H149" s="484">
        <f t="shared" si="58"/>
        <v>0</v>
      </c>
      <c r="I149" s="540">
        <f t="shared" si="66"/>
        <v>0</v>
      </c>
      <c r="J149" s="476">
        <f t="shared" si="62"/>
        <v>0</v>
      </c>
      <c r="K149" s="476"/>
      <c r="L149" s="485"/>
      <c r="M149" s="476">
        <f t="shared" si="63"/>
        <v>0</v>
      </c>
      <c r="N149" s="485"/>
      <c r="O149" s="476">
        <f t="shared" si="64"/>
        <v>0</v>
      </c>
      <c r="P149" s="476">
        <f t="shared" si="65"/>
        <v>0</v>
      </c>
    </row>
    <row r="150" spans="2:16" ht="12.5">
      <c r="B150" s="160" t="str">
        <f t="shared" si="37"/>
        <v/>
      </c>
      <c r="C150" s="470">
        <f>IF(D93="","-",+C149+1)</f>
        <v>2060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60"/>
        <v>0</v>
      </c>
      <c r="G150" s="483">
        <f t="shared" si="61"/>
        <v>0</v>
      </c>
      <c r="H150" s="484">
        <f t="shared" si="58"/>
        <v>0</v>
      </c>
      <c r="I150" s="540">
        <f t="shared" si="66"/>
        <v>0</v>
      </c>
      <c r="J150" s="476">
        <f t="shared" si="62"/>
        <v>0</v>
      </c>
      <c r="K150" s="476"/>
      <c r="L150" s="485"/>
      <c r="M150" s="476">
        <f t="shared" si="63"/>
        <v>0</v>
      </c>
      <c r="N150" s="485"/>
      <c r="O150" s="476">
        <f t="shared" si="64"/>
        <v>0</v>
      </c>
      <c r="P150" s="476">
        <f t="shared" si="65"/>
        <v>0</v>
      </c>
    </row>
    <row r="151" spans="2:16" ht="12.5">
      <c r="B151" s="160" t="str">
        <f t="shared" si="37"/>
        <v/>
      </c>
      <c r="C151" s="470">
        <f>IF(D93="","-",+C150+1)</f>
        <v>2061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60"/>
        <v>0</v>
      </c>
      <c r="G151" s="483">
        <f t="shared" si="61"/>
        <v>0</v>
      </c>
      <c r="H151" s="484">
        <f t="shared" si="58"/>
        <v>0</v>
      </c>
      <c r="I151" s="540">
        <f t="shared" si="66"/>
        <v>0</v>
      </c>
      <c r="J151" s="476">
        <f t="shared" si="62"/>
        <v>0</v>
      </c>
      <c r="K151" s="476"/>
      <c r="L151" s="485"/>
      <c r="M151" s="476">
        <f t="shared" si="63"/>
        <v>0</v>
      </c>
      <c r="N151" s="485"/>
      <c r="O151" s="476">
        <f t="shared" si="64"/>
        <v>0</v>
      </c>
      <c r="P151" s="476">
        <f t="shared" si="65"/>
        <v>0</v>
      </c>
    </row>
    <row r="152" spans="2:16" ht="12.5">
      <c r="B152" s="160" t="str">
        <f t="shared" si="37"/>
        <v/>
      </c>
      <c r="C152" s="470">
        <f>IF(D93="","-",+C151+1)</f>
        <v>2062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60"/>
        <v>0</v>
      </c>
      <c r="G152" s="483">
        <f t="shared" si="61"/>
        <v>0</v>
      </c>
      <c r="H152" s="484">
        <f t="shared" si="58"/>
        <v>0</v>
      </c>
      <c r="I152" s="540">
        <f t="shared" si="66"/>
        <v>0</v>
      </c>
      <c r="J152" s="476">
        <f t="shared" si="62"/>
        <v>0</v>
      </c>
      <c r="K152" s="476"/>
      <c r="L152" s="485"/>
      <c r="M152" s="476">
        <f t="shared" si="63"/>
        <v>0</v>
      </c>
      <c r="N152" s="485"/>
      <c r="O152" s="476">
        <f t="shared" si="64"/>
        <v>0</v>
      </c>
      <c r="P152" s="476">
        <f t="shared" si="65"/>
        <v>0</v>
      </c>
    </row>
    <row r="153" spans="2:16" ht="12.5">
      <c r="B153" s="160" t="str">
        <f t="shared" si="37"/>
        <v/>
      </c>
      <c r="C153" s="470">
        <f>IF(D93="","-",+C152+1)</f>
        <v>2063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60"/>
        <v>0</v>
      </c>
      <c r="G153" s="483">
        <f t="shared" si="61"/>
        <v>0</v>
      </c>
      <c r="H153" s="484">
        <f t="shared" si="58"/>
        <v>0</v>
      </c>
      <c r="I153" s="540">
        <f t="shared" si="66"/>
        <v>0</v>
      </c>
      <c r="J153" s="476">
        <f t="shared" si="62"/>
        <v>0</v>
      </c>
      <c r="K153" s="476"/>
      <c r="L153" s="485"/>
      <c r="M153" s="476">
        <f t="shared" si="63"/>
        <v>0</v>
      </c>
      <c r="N153" s="485"/>
      <c r="O153" s="476">
        <f t="shared" si="64"/>
        <v>0</v>
      </c>
      <c r="P153" s="476">
        <f t="shared" si="65"/>
        <v>0</v>
      </c>
    </row>
    <row r="154" spans="2:16" ht="13" thickBot="1">
      <c r="B154" s="160" t="str">
        <f t="shared" si="37"/>
        <v/>
      </c>
      <c r="C154" s="487">
        <f>IF(D93="","-",+C153+1)</f>
        <v>2064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60"/>
        <v>0</v>
      </c>
      <c r="G154" s="488">
        <f t="shared" si="61"/>
        <v>0</v>
      </c>
      <c r="H154" s="488">
        <f t="shared" si="58"/>
        <v>0</v>
      </c>
      <c r="I154" s="543">
        <f t="shared" si="66"/>
        <v>0</v>
      </c>
      <c r="J154" s="493">
        <f t="shared" si="62"/>
        <v>0</v>
      </c>
      <c r="K154" s="476"/>
      <c r="L154" s="492"/>
      <c r="M154" s="493">
        <f t="shared" si="63"/>
        <v>0</v>
      </c>
      <c r="N154" s="492"/>
      <c r="O154" s="493">
        <f t="shared" si="64"/>
        <v>0</v>
      </c>
      <c r="P154" s="493">
        <f t="shared" si="65"/>
        <v>0</v>
      </c>
    </row>
    <row r="155" spans="2:16" ht="12.5">
      <c r="C155" s="345" t="s">
        <v>77</v>
      </c>
      <c r="D155" s="346"/>
      <c r="E155" s="346">
        <f>SUM(E99:E154)</f>
        <v>893858</v>
      </c>
      <c r="F155" s="346"/>
      <c r="G155" s="346"/>
      <c r="H155" s="346">
        <f>SUM(H99:H154)</f>
        <v>3232782.5513972756</v>
      </c>
      <c r="I155" s="346">
        <f>SUM(I99:I154)</f>
        <v>3232782.5513972756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2.5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46" t="s">
        <v>145</v>
      </c>
    </row>
  </sheetData>
  <phoneticPr fontId="0" type="noConversion"/>
  <conditionalFormatting sqref="C17:C72">
    <cfRule type="cellIs" dxfId="66" priority="1" stopIfTrue="1" operator="equal">
      <formula>$I$10</formula>
    </cfRule>
  </conditionalFormatting>
  <conditionalFormatting sqref="C99:C154">
    <cfRule type="cellIs" dxfId="6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P162"/>
  <sheetViews>
    <sheetView zoomScaleNormal="100" zoomScaleSheetLayoutView="75" workbookViewId="0">
      <selection activeCell="D94" sqref="D9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2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503612.14466528577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503612.14466528577</v>
      </c>
      <c r="O6" s="231"/>
      <c r="P6" s="231"/>
    </row>
    <row r="7" spans="1:16" ht="13.5" thickBot="1">
      <c r="C7" s="429" t="s">
        <v>46</v>
      </c>
      <c r="D7" s="430" t="s">
        <v>210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80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4688896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2009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120228.10256410256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C17" s="470">
        <f>IF(D11= "","-",D11)</f>
        <v>2009</v>
      </c>
      <c r="D17" s="471">
        <v>6704177</v>
      </c>
      <c r="E17" s="472">
        <v>73788</v>
      </c>
      <c r="F17" s="471">
        <v>6630389</v>
      </c>
      <c r="G17" s="472">
        <v>750999</v>
      </c>
      <c r="H17" s="472">
        <v>750999</v>
      </c>
      <c r="I17" s="473">
        <f t="shared" ref="I17:I48" si="0">H17-G17</f>
        <v>0</v>
      </c>
      <c r="J17" s="473"/>
      <c r="K17" s="474">
        <v>750999</v>
      </c>
      <c r="L17" s="475">
        <f t="shared" ref="L17:L48" si="1">IF(K17&lt;&gt;0,+G17-K17,0)</f>
        <v>0</v>
      </c>
      <c r="M17" s="474">
        <v>750999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2010</v>
      </c>
      <c r="D18" s="477">
        <v>4651603</v>
      </c>
      <c r="E18" s="478">
        <v>84382</v>
      </c>
      <c r="F18" s="477">
        <v>4567221</v>
      </c>
      <c r="G18" s="478">
        <v>743416</v>
      </c>
      <c r="H18" s="479">
        <v>743416</v>
      </c>
      <c r="I18" s="473">
        <f t="shared" si="0"/>
        <v>0</v>
      </c>
      <c r="J18" s="473"/>
      <c r="K18" s="474">
        <f t="shared" ref="K18:K23" si="4">G18</f>
        <v>743416</v>
      </c>
      <c r="L18" s="548">
        <f t="shared" si="1"/>
        <v>0</v>
      </c>
      <c r="M18" s="474">
        <f t="shared" ref="M18:M23" si="5">H18</f>
        <v>743416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2011</v>
      </c>
      <c r="D19" s="477">
        <v>4530726</v>
      </c>
      <c r="E19" s="478">
        <v>91939.137254901958</v>
      </c>
      <c r="F19" s="477">
        <v>4438786.8627450978</v>
      </c>
      <c r="G19" s="478">
        <v>786801.66702531651</v>
      </c>
      <c r="H19" s="479">
        <v>786801.66702531651</v>
      </c>
      <c r="I19" s="473">
        <f t="shared" si="0"/>
        <v>0</v>
      </c>
      <c r="J19" s="473"/>
      <c r="K19" s="474">
        <f t="shared" si="4"/>
        <v>786801.66702531651</v>
      </c>
      <c r="L19" s="548">
        <f t="shared" si="1"/>
        <v>0</v>
      </c>
      <c r="M19" s="474">
        <f t="shared" si="5"/>
        <v>786801.66702531651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6">IF(D20=F19,"","IU")</f>
        <v/>
      </c>
      <c r="C20" s="470">
        <f>IF(D11="","-",+C19+1)</f>
        <v>2012</v>
      </c>
      <c r="D20" s="477">
        <v>4438786.8627450978</v>
      </c>
      <c r="E20" s="478">
        <v>90171.076923076922</v>
      </c>
      <c r="F20" s="477">
        <v>4348615.7858220208</v>
      </c>
      <c r="G20" s="478">
        <v>695527.67751323315</v>
      </c>
      <c r="H20" s="479">
        <v>695527.67751323315</v>
      </c>
      <c r="I20" s="473">
        <f t="shared" si="0"/>
        <v>0</v>
      </c>
      <c r="J20" s="473"/>
      <c r="K20" s="474">
        <f t="shared" si="4"/>
        <v>695527.67751323315</v>
      </c>
      <c r="L20" s="548">
        <f t="shared" si="1"/>
        <v>0</v>
      </c>
      <c r="M20" s="474">
        <f t="shared" si="5"/>
        <v>695527.67751323315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6"/>
        <v/>
      </c>
      <c r="C21" s="470">
        <f>IF(D12="","-",+C20+1)</f>
        <v>2013</v>
      </c>
      <c r="D21" s="477">
        <v>4348615.7858220208</v>
      </c>
      <c r="E21" s="478">
        <v>90171.076923076922</v>
      </c>
      <c r="F21" s="477">
        <v>4258444.7088989438</v>
      </c>
      <c r="G21" s="478">
        <v>698305.7699783385</v>
      </c>
      <c r="H21" s="479">
        <v>698305.7699783385</v>
      </c>
      <c r="I21" s="473">
        <v>0</v>
      </c>
      <c r="J21" s="473"/>
      <c r="K21" s="474">
        <f t="shared" si="4"/>
        <v>698305.7699783385</v>
      </c>
      <c r="L21" s="548">
        <f t="shared" ref="L21:L26" si="7">IF(K21&lt;&gt;0,+G21-K21,0)</f>
        <v>0</v>
      </c>
      <c r="M21" s="474">
        <f t="shared" si="5"/>
        <v>698305.7699783385</v>
      </c>
      <c r="N21" s="476">
        <f t="shared" ref="N21:N26" si="8">IF(M21&lt;&gt;0,+H21-M21,0)</f>
        <v>0</v>
      </c>
      <c r="O21" s="476">
        <f t="shared" ref="O21:O26" si="9">+N21-L21</f>
        <v>0</v>
      </c>
      <c r="P21" s="241"/>
    </row>
    <row r="22" spans="2:16" ht="12.5">
      <c r="B22" s="160" t="str">
        <f t="shared" si="6"/>
        <v/>
      </c>
      <c r="C22" s="470">
        <f>IF(D11="","-",+C21+1)</f>
        <v>2014</v>
      </c>
      <c r="D22" s="477">
        <v>4258444.7088989438</v>
      </c>
      <c r="E22" s="478">
        <v>90171.076923076922</v>
      </c>
      <c r="F22" s="477">
        <v>4168273.6319758669</v>
      </c>
      <c r="G22" s="478">
        <v>663970.48849892756</v>
      </c>
      <c r="H22" s="479">
        <v>663970.48849892756</v>
      </c>
      <c r="I22" s="473">
        <v>0</v>
      </c>
      <c r="J22" s="473"/>
      <c r="K22" s="474">
        <f t="shared" si="4"/>
        <v>663970.48849892756</v>
      </c>
      <c r="L22" s="548">
        <f t="shared" si="7"/>
        <v>0</v>
      </c>
      <c r="M22" s="474">
        <f t="shared" si="5"/>
        <v>663970.48849892756</v>
      </c>
      <c r="N22" s="476">
        <f t="shared" si="8"/>
        <v>0</v>
      </c>
      <c r="O22" s="476">
        <f t="shared" si="9"/>
        <v>0</v>
      </c>
      <c r="P22" s="241"/>
    </row>
    <row r="23" spans="2:16" ht="12.5">
      <c r="B23" s="160" t="str">
        <f t="shared" si="6"/>
        <v/>
      </c>
      <c r="C23" s="470">
        <f>IF(D11="","-",+C22+1)</f>
        <v>2015</v>
      </c>
      <c r="D23" s="477">
        <v>4168273.6319758669</v>
      </c>
      <c r="E23" s="478">
        <v>90171.076923076922</v>
      </c>
      <c r="F23" s="477">
        <v>4078102.5550527899</v>
      </c>
      <c r="G23" s="478">
        <v>652425.83265151177</v>
      </c>
      <c r="H23" s="479">
        <v>652425.83265151177</v>
      </c>
      <c r="I23" s="473">
        <v>0</v>
      </c>
      <c r="J23" s="473"/>
      <c r="K23" s="474">
        <f t="shared" si="4"/>
        <v>652425.83265151177</v>
      </c>
      <c r="L23" s="548">
        <f t="shared" si="7"/>
        <v>0</v>
      </c>
      <c r="M23" s="474">
        <f t="shared" si="5"/>
        <v>652425.83265151177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2016</v>
      </c>
      <c r="D24" s="477">
        <v>4078102.5550527899</v>
      </c>
      <c r="E24" s="478">
        <v>90171.076923076922</v>
      </c>
      <c r="F24" s="477">
        <v>3987931.4781297129</v>
      </c>
      <c r="G24" s="478">
        <v>613226.71011811122</v>
      </c>
      <c r="H24" s="479">
        <v>613226.71011811122</v>
      </c>
      <c r="I24" s="473">
        <f t="shared" si="0"/>
        <v>0</v>
      </c>
      <c r="J24" s="473"/>
      <c r="K24" s="474">
        <f t="shared" ref="K24:K29" si="10">G24</f>
        <v>613226.71011811122</v>
      </c>
      <c r="L24" s="548">
        <f t="shared" si="7"/>
        <v>0</v>
      </c>
      <c r="M24" s="474">
        <f t="shared" ref="M24:M29" si="11">H24</f>
        <v>613226.71011811122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6"/>
        <v/>
      </c>
      <c r="C25" s="470">
        <f>IF(D11="","-",+C24+1)</f>
        <v>2017</v>
      </c>
      <c r="D25" s="477">
        <v>3987931.4781297129</v>
      </c>
      <c r="E25" s="478">
        <v>101932.52173913043</v>
      </c>
      <c r="F25" s="477">
        <v>3885998.9563905825</v>
      </c>
      <c r="G25" s="478">
        <v>596467.29312714399</v>
      </c>
      <c r="H25" s="479">
        <v>596467.29312714399</v>
      </c>
      <c r="I25" s="473">
        <f t="shared" si="0"/>
        <v>0</v>
      </c>
      <c r="J25" s="549"/>
      <c r="K25" s="474">
        <f t="shared" si="10"/>
        <v>596467.29312714399</v>
      </c>
      <c r="L25" s="548">
        <f t="shared" si="7"/>
        <v>0</v>
      </c>
      <c r="M25" s="474">
        <f t="shared" si="11"/>
        <v>596467.29312714399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2018</v>
      </c>
      <c r="D26" s="477">
        <v>3885998.9563905825</v>
      </c>
      <c r="E26" s="478">
        <v>104197.68888888889</v>
      </c>
      <c r="F26" s="477">
        <v>3781801.2675016937</v>
      </c>
      <c r="G26" s="478">
        <v>563341.50507496181</v>
      </c>
      <c r="H26" s="479">
        <v>563341.50507496181</v>
      </c>
      <c r="I26" s="473">
        <f t="shared" si="0"/>
        <v>0</v>
      </c>
      <c r="J26" s="549"/>
      <c r="K26" s="474">
        <f t="shared" si="10"/>
        <v>563341.50507496181</v>
      </c>
      <c r="L26" s="548">
        <f t="shared" si="7"/>
        <v>0</v>
      </c>
      <c r="M26" s="474">
        <f t="shared" si="11"/>
        <v>563341.50507496181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6"/>
        <v/>
      </c>
      <c r="C27" s="470">
        <f>IF(D11="","-",+C26+1)</f>
        <v>2019</v>
      </c>
      <c r="D27" s="477">
        <v>3781801.2675016937</v>
      </c>
      <c r="E27" s="478">
        <v>117222.39999999999</v>
      </c>
      <c r="F27" s="477">
        <v>3664578.8675016938</v>
      </c>
      <c r="G27" s="478">
        <v>532941.26061774243</v>
      </c>
      <c r="H27" s="479">
        <v>532941.26061774243</v>
      </c>
      <c r="I27" s="473">
        <f t="shared" si="0"/>
        <v>0</v>
      </c>
      <c r="J27" s="550"/>
      <c r="K27" s="474">
        <f t="shared" si="10"/>
        <v>532941.26061774243</v>
      </c>
      <c r="L27" s="548">
        <f t="shared" ref="L27" si="12">IF(K27&lt;&gt;0,+G27-K27,0)</f>
        <v>0</v>
      </c>
      <c r="M27" s="474">
        <f t="shared" si="11"/>
        <v>532941.26061774243</v>
      </c>
      <c r="N27" s="476">
        <f t="shared" ref="N27" si="13">IF(M27&lt;&gt;0,+H27-M27,0)</f>
        <v>0</v>
      </c>
      <c r="O27" s="476">
        <f t="shared" ref="O27" si="14">+N27-L27</f>
        <v>0</v>
      </c>
      <c r="P27" s="241"/>
    </row>
    <row r="28" spans="2:16" ht="12.5">
      <c r="B28" s="160" t="str">
        <f t="shared" si="6"/>
        <v>IU</v>
      </c>
      <c r="C28" s="470">
        <f>IF(D11="","-",+C27+1)</f>
        <v>2020</v>
      </c>
      <c r="D28" s="477">
        <v>3677603.5786128049</v>
      </c>
      <c r="E28" s="478">
        <v>111640.38095238095</v>
      </c>
      <c r="F28" s="477">
        <v>3565963.1976604238</v>
      </c>
      <c r="G28" s="478">
        <v>502810.28780425031</v>
      </c>
      <c r="H28" s="479">
        <v>502810.28780425031</v>
      </c>
      <c r="I28" s="473">
        <f t="shared" si="0"/>
        <v>0</v>
      </c>
      <c r="J28" s="473"/>
      <c r="K28" s="474">
        <f t="shared" si="10"/>
        <v>502810.28780425031</v>
      </c>
      <c r="L28" s="548">
        <f t="shared" ref="L28" si="15">IF(K28&lt;&gt;0,+G28-K28,0)</f>
        <v>0</v>
      </c>
      <c r="M28" s="474">
        <f t="shared" si="11"/>
        <v>502810.28780425031</v>
      </c>
      <c r="N28" s="476">
        <f t="shared" ref="N28" si="16">IF(M28&lt;&gt;0,+H28-M28,0)</f>
        <v>0</v>
      </c>
      <c r="O28" s="476">
        <f t="shared" si="3"/>
        <v>0</v>
      </c>
      <c r="P28" s="241"/>
    </row>
    <row r="29" spans="2:16" ht="12.5">
      <c r="B29" s="160" t="str">
        <f t="shared" si="6"/>
        <v>IU</v>
      </c>
      <c r="C29" s="470">
        <f>IF(D11="","-",+C28+1)</f>
        <v>2021</v>
      </c>
      <c r="D29" s="477">
        <v>3552938.4865493132</v>
      </c>
      <c r="E29" s="478">
        <v>109044.09302325582</v>
      </c>
      <c r="F29" s="477">
        <v>3443894.3935260572</v>
      </c>
      <c r="G29" s="478">
        <v>480370.47549623175</v>
      </c>
      <c r="H29" s="479">
        <v>480370.47549623175</v>
      </c>
      <c r="I29" s="473">
        <f t="shared" si="0"/>
        <v>0</v>
      </c>
      <c r="J29" s="473"/>
      <c r="K29" s="474">
        <f t="shared" si="10"/>
        <v>480370.47549623175</v>
      </c>
      <c r="L29" s="548">
        <f t="shared" ref="L29" si="17">IF(K29&lt;&gt;0,+G29-K29,0)</f>
        <v>0</v>
      </c>
      <c r="M29" s="474">
        <f t="shared" si="11"/>
        <v>480370.47549623175</v>
      </c>
      <c r="N29" s="476">
        <f t="shared" si="2"/>
        <v>0</v>
      </c>
      <c r="O29" s="476">
        <f t="shared" si="3"/>
        <v>0</v>
      </c>
      <c r="P29" s="241"/>
    </row>
    <row r="30" spans="2:16" ht="12.5">
      <c r="B30" s="160" t="str">
        <f t="shared" si="6"/>
        <v/>
      </c>
      <c r="C30" s="470">
        <f>IF(D11="","-",+C29+1)</f>
        <v>2022</v>
      </c>
      <c r="D30" s="477">
        <v>3443894.3935260572</v>
      </c>
      <c r="E30" s="478">
        <v>111640.38095238095</v>
      </c>
      <c r="F30" s="477">
        <v>3332254.0125736762</v>
      </c>
      <c r="G30" s="478">
        <v>470894.83739416272</v>
      </c>
      <c r="H30" s="479">
        <v>470894.83739416272</v>
      </c>
      <c r="I30" s="473">
        <f t="shared" si="0"/>
        <v>0</v>
      </c>
      <c r="J30" s="473"/>
      <c r="K30" s="474">
        <f t="shared" ref="K30" si="18">G30</f>
        <v>470894.83739416272</v>
      </c>
      <c r="L30" s="548">
        <f t="shared" ref="L30" si="19">IF(K30&lt;&gt;0,+G30-K30,0)</f>
        <v>0</v>
      </c>
      <c r="M30" s="474">
        <f t="shared" ref="M30" si="20">H30</f>
        <v>470894.83739416272</v>
      </c>
      <c r="N30" s="476">
        <f t="shared" si="2"/>
        <v>0</v>
      </c>
      <c r="O30" s="476">
        <f t="shared" si="3"/>
        <v>0</v>
      </c>
      <c r="P30" s="241"/>
    </row>
    <row r="31" spans="2:16" ht="12.5">
      <c r="B31" s="160" t="str">
        <f t="shared" si="6"/>
        <v/>
      </c>
      <c r="C31" s="470">
        <f>IF(D11="","-",+C30+1)</f>
        <v>2023</v>
      </c>
      <c r="D31" s="477">
        <v>3332254.0125736762</v>
      </c>
      <c r="E31" s="478">
        <v>120228.10256410256</v>
      </c>
      <c r="F31" s="477">
        <v>3212025.9100095737</v>
      </c>
      <c r="G31" s="478">
        <v>503612.14466528577</v>
      </c>
      <c r="H31" s="479">
        <v>503612.14466528577</v>
      </c>
      <c r="I31" s="473">
        <f t="shared" si="0"/>
        <v>0</v>
      </c>
      <c r="J31" s="473"/>
      <c r="K31" s="474">
        <f t="shared" ref="K31" si="21">G31</f>
        <v>503612.14466528577</v>
      </c>
      <c r="L31" s="548">
        <f t="shared" ref="L31" si="22">IF(K31&lt;&gt;0,+G31-K31,0)</f>
        <v>0</v>
      </c>
      <c r="M31" s="474">
        <f t="shared" ref="M31" si="23">H31</f>
        <v>503612.14466528577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6"/>
        <v/>
      </c>
      <c r="C32" s="470">
        <f>IF(D11="","-",+C31+1)</f>
        <v>2024</v>
      </c>
      <c r="D32" s="483">
        <f>IF(F31+SUM(E$17:E31)=D$10,F31,D$10-SUM(E$17:E31))</f>
        <v>3212025.9100095737</v>
      </c>
      <c r="E32" s="482">
        <f>IF(+I14&lt;F31,I14,D32)</f>
        <v>120228.10256410256</v>
      </c>
      <c r="F32" s="483">
        <f t="shared" ref="F32:F48" si="24">+D32-E32</f>
        <v>3091797.8074454712</v>
      </c>
      <c r="G32" s="484">
        <f t="shared" ref="G32:G72" si="25">(D32+F32)/2*I$12+E32</f>
        <v>496436.99458453123</v>
      </c>
      <c r="H32" s="453">
        <f t="shared" ref="H32:H72" si="26">+(D32+F32)/2*I$13+E32</f>
        <v>496436.99458453123</v>
      </c>
      <c r="I32" s="473">
        <f t="shared" si="0"/>
        <v>0</v>
      </c>
      <c r="J32" s="473"/>
      <c r="K32" s="485"/>
      <c r="L32" s="476">
        <f t="shared" si="1"/>
        <v>0</v>
      </c>
      <c r="M32" s="485"/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6"/>
        <v/>
      </c>
      <c r="C33" s="470">
        <f>IF(D11="","-",+C32+1)</f>
        <v>2025</v>
      </c>
      <c r="D33" s="483">
        <f>IF(F32+SUM(E$17:E32)=D$10,F32,D$10-SUM(E$17:E32))</f>
        <v>3091797.8074454712</v>
      </c>
      <c r="E33" s="482">
        <f>IF(+I14&lt;F32,I14,D33)</f>
        <v>120228.10256410256</v>
      </c>
      <c r="F33" s="483">
        <f t="shared" si="24"/>
        <v>2971569.7048813687</v>
      </c>
      <c r="G33" s="484">
        <f t="shared" si="25"/>
        <v>482086.69442302239</v>
      </c>
      <c r="H33" s="453">
        <f t="shared" si="26"/>
        <v>482086.69442302239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6"/>
        <v/>
      </c>
      <c r="C34" s="470">
        <f>IF(D11="","-",+C33+1)</f>
        <v>2026</v>
      </c>
      <c r="D34" s="483">
        <f>IF(F33+SUM(E$17:E33)=D$10,F33,D$10-SUM(E$17:E33))</f>
        <v>2971569.7048813687</v>
      </c>
      <c r="E34" s="482">
        <f>IF(+I14&lt;F33,I14,D34)</f>
        <v>120228.10256410256</v>
      </c>
      <c r="F34" s="483">
        <f t="shared" si="24"/>
        <v>2851341.6023172662</v>
      </c>
      <c r="G34" s="484">
        <f t="shared" si="25"/>
        <v>467736.39426151343</v>
      </c>
      <c r="H34" s="453">
        <f t="shared" si="26"/>
        <v>467736.39426151343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6"/>
        <v/>
      </c>
      <c r="C35" s="470">
        <f>IF(D11="","-",+C34+1)</f>
        <v>2027</v>
      </c>
      <c r="D35" s="483">
        <f>IF(F34+SUM(E$17:E34)=D$10,F34,D$10-SUM(E$17:E34))</f>
        <v>2851341.6023172662</v>
      </c>
      <c r="E35" s="482">
        <f>IF(+I14&lt;F34,I14,D35)</f>
        <v>120228.10256410256</v>
      </c>
      <c r="F35" s="483">
        <f t="shared" si="24"/>
        <v>2731113.4997531637</v>
      </c>
      <c r="G35" s="484">
        <f t="shared" si="25"/>
        <v>453386.09410000453</v>
      </c>
      <c r="H35" s="453">
        <f t="shared" si="26"/>
        <v>453386.09410000453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6"/>
        <v/>
      </c>
      <c r="C36" s="470">
        <f>IF(D11="","-",+C35+1)</f>
        <v>2028</v>
      </c>
      <c r="D36" s="483">
        <f>IF(F35+SUM(E$17:E35)=D$10,F35,D$10-SUM(E$17:E35))</f>
        <v>2731113.4997531637</v>
      </c>
      <c r="E36" s="482">
        <f>IF(+I14&lt;F35,I14,D36)</f>
        <v>120228.10256410256</v>
      </c>
      <c r="F36" s="483">
        <f t="shared" si="24"/>
        <v>2610885.3971890612</v>
      </c>
      <c r="G36" s="484">
        <f t="shared" si="25"/>
        <v>439035.79393849557</v>
      </c>
      <c r="H36" s="453">
        <f t="shared" si="26"/>
        <v>439035.79393849557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6"/>
        <v/>
      </c>
      <c r="C37" s="470">
        <f>IF(D11="","-",+C36+1)</f>
        <v>2029</v>
      </c>
      <c r="D37" s="483">
        <f>IF(F36+SUM(E$17:E36)=D$10,F36,D$10-SUM(E$17:E36))</f>
        <v>2610885.3971890612</v>
      </c>
      <c r="E37" s="482">
        <f>IF(+I14&lt;F36,I14,D37)</f>
        <v>120228.10256410256</v>
      </c>
      <c r="F37" s="483">
        <f t="shared" si="24"/>
        <v>2490657.2946249587</v>
      </c>
      <c r="G37" s="484">
        <f t="shared" si="25"/>
        <v>424685.49377698667</v>
      </c>
      <c r="H37" s="453">
        <f t="shared" si="26"/>
        <v>424685.49377698667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6"/>
        <v/>
      </c>
      <c r="C38" s="470">
        <f>IF(D11="","-",+C37+1)</f>
        <v>2030</v>
      </c>
      <c r="D38" s="483">
        <f>IF(F37+SUM(E$17:E37)=D$10,F37,D$10-SUM(E$17:E37))</f>
        <v>2490657.2946249587</v>
      </c>
      <c r="E38" s="482">
        <f>IF(+I14&lt;F37,I14,D38)</f>
        <v>120228.10256410256</v>
      </c>
      <c r="F38" s="483">
        <f t="shared" si="24"/>
        <v>2370429.1920608561</v>
      </c>
      <c r="G38" s="484">
        <f t="shared" si="25"/>
        <v>410335.19361547771</v>
      </c>
      <c r="H38" s="453">
        <f t="shared" si="26"/>
        <v>410335.19361547771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6"/>
        <v/>
      </c>
      <c r="C39" s="470">
        <f>IF(D11="","-",+C38+1)</f>
        <v>2031</v>
      </c>
      <c r="D39" s="483">
        <f>IF(F38+SUM(E$17:E38)=D$10,F38,D$10-SUM(E$17:E38))</f>
        <v>2370429.1920608561</v>
      </c>
      <c r="E39" s="482">
        <f>IF(+I14&lt;F38,I14,D39)</f>
        <v>120228.10256410256</v>
      </c>
      <c r="F39" s="483">
        <f t="shared" si="24"/>
        <v>2250201.0894967536</v>
      </c>
      <c r="G39" s="484">
        <f t="shared" si="25"/>
        <v>395984.89345396881</v>
      </c>
      <c r="H39" s="453">
        <f t="shared" si="26"/>
        <v>395984.89345396881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6"/>
        <v/>
      </c>
      <c r="C40" s="470">
        <f>IF(D11="","-",+C39+1)</f>
        <v>2032</v>
      </c>
      <c r="D40" s="483">
        <f>IF(F39+SUM(E$17:E39)=D$10,F39,D$10-SUM(E$17:E39))</f>
        <v>2250201.0894967536</v>
      </c>
      <c r="E40" s="482">
        <f>IF(+I14&lt;F39,I14,D40)</f>
        <v>120228.10256410256</v>
      </c>
      <c r="F40" s="483">
        <f t="shared" si="24"/>
        <v>2129972.9869326511</v>
      </c>
      <c r="G40" s="484">
        <f t="shared" si="25"/>
        <v>381634.59329245985</v>
      </c>
      <c r="H40" s="453">
        <f t="shared" si="26"/>
        <v>381634.59329245985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6"/>
        <v/>
      </c>
      <c r="C41" s="470">
        <f>IF(D11="","-",+C40+1)</f>
        <v>2033</v>
      </c>
      <c r="D41" s="483">
        <f>IF(F40+SUM(E$17:E40)=D$10,F40,D$10-SUM(E$17:E40))</f>
        <v>2129972.9869326511</v>
      </c>
      <c r="E41" s="482">
        <f>IF(+I14&lt;F40,I14,D41)</f>
        <v>120228.10256410256</v>
      </c>
      <c r="F41" s="483">
        <f t="shared" si="24"/>
        <v>2009744.8843685486</v>
      </c>
      <c r="G41" s="484">
        <f t="shared" si="25"/>
        <v>367284.29313095094</v>
      </c>
      <c r="H41" s="453">
        <f t="shared" si="26"/>
        <v>367284.29313095094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6"/>
        <v/>
      </c>
      <c r="C42" s="470">
        <f>IF(D11="","-",+C41+1)</f>
        <v>2034</v>
      </c>
      <c r="D42" s="483">
        <f>IF(F41+SUM(E$17:E41)=D$10,F41,D$10-SUM(E$17:E41))</f>
        <v>2009744.8843685486</v>
      </c>
      <c r="E42" s="482">
        <f>IF(+I14&lt;F41,I14,D42)</f>
        <v>120228.10256410256</v>
      </c>
      <c r="F42" s="483">
        <f t="shared" si="24"/>
        <v>1889516.7818044461</v>
      </c>
      <c r="G42" s="484">
        <f t="shared" si="25"/>
        <v>352933.99296944204</v>
      </c>
      <c r="H42" s="453">
        <f t="shared" si="26"/>
        <v>352933.99296944204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6"/>
        <v/>
      </c>
      <c r="C43" s="470">
        <f>IF(D11="","-",+C42+1)</f>
        <v>2035</v>
      </c>
      <c r="D43" s="483">
        <f>IF(F42+SUM(E$17:E42)=D$10,F42,D$10-SUM(E$17:E42))</f>
        <v>1889516.7818044461</v>
      </c>
      <c r="E43" s="482">
        <f>IF(+I14&lt;F42,I14,D43)</f>
        <v>120228.10256410256</v>
      </c>
      <c r="F43" s="483">
        <f t="shared" si="24"/>
        <v>1769288.6792403436</v>
      </c>
      <c r="G43" s="484">
        <f t="shared" si="25"/>
        <v>338583.69280793308</v>
      </c>
      <c r="H43" s="453">
        <f t="shared" si="26"/>
        <v>338583.69280793308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6"/>
        <v/>
      </c>
      <c r="C44" s="470">
        <f>IF(D11="","-",+C43+1)</f>
        <v>2036</v>
      </c>
      <c r="D44" s="483">
        <f>IF(F43+SUM(E$17:E43)=D$10,F43,D$10-SUM(E$17:E43))</f>
        <v>1769288.6792403436</v>
      </c>
      <c r="E44" s="482">
        <f>IF(+I14&lt;F43,I14,D44)</f>
        <v>120228.10256410256</v>
      </c>
      <c r="F44" s="483">
        <f t="shared" si="24"/>
        <v>1649060.5766762411</v>
      </c>
      <c r="G44" s="484">
        <f t="shared" si="25"/>
        <v>324233.39264642412</v>
      </c>
      <c r="H44" s="453">
        <f t="shared" si="26"/>
        <v>324233.39264642412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6"/>
        <v/>
      </c>
      <c r="C45" s="470">
        <f>IF(D11="","-",+C44+1)</f>
        <v>2037</v>
      </c>
      <c r="D45" s="483">
        <f>IF(F44+SUM(E$17:E44)=D$10,F44,D$10-SUM(E$17:E44))</f>
        <v>1649060.5766762411</v>
      </c>
      <c r="E45" s="482">
        <f>IF(+I14&lt;F44,I14,D45)</f>
        <v>120228.10256410256</v>
      </c>
      <c r="F45" s="483">
        <f t="shared" si="24"/>
        <v>1528832.4741121386</v>
      </c>
      <c r="G45" s="484">
        <f t="shared" si="25"/>
        <v>309883.09248491522</v>
      </c>
      <c r="H45" s="453">
        <f t="shared" si="26"/>
        <v>309883.09248491522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6"/>
        <v/>
      </c>
      <c r="C46" s="470">
        <f>IF(D11="","-",+C45+1)</f>
        <v>2038</v>
      </c>
      <c r="D46" s="483">
        <f>IF(F45+SUM(E$17:E45)=D$10,F45,D$10-SUM(E$17:E45))</f>
        <v>1528832.4741121386</v>
      </c>
      <c r="E46" s="482">
        <f>IF(+I14&lt;F45,I14,D46)</f>
        <v>120228.10256410256</v>
      </c>
      <c r="F46" s="483">
        <f t="shared" si="24"/>
        <v>1408604.3715480361</v>
      </c>
      <c r="G46" s="484">
        <f t="shared" si="25"/>
        <v>295532.79232340632</v>
      </c>
      <c r="H46" s="453">
        <f t="shared" si="26"/>
        <v>295532.79232340632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6"/>
        <v/>
      </c>
      <c r="C47" s="470">
        <f>IF(D11="","-",+C46+1)</f>
        <v>2039</v>
      </c>
      <c r="D47" s="483">
        <f>IF(F46+SUM(E$17:E46)=D$10,F46,D$10-SUM(E$17:E46))</f>
        <v>1408604.3715480361</v>
      </c>
      <c r="E47" s="482">
        <f>IF(+I14&lt;F46,I14,D47)</f>
        <v>120228.10256410256</v>
      </c>
      <c r="F47" s="483">
        <f t="shared" si="24"/>
        <v>1288376.2689839336</v>
      </c>
      <c r="G47" s="484">
        <f t="shared" si="25"/>
        <v>281182.49216189736</v>
      </c>
      <c r="H47" s="453">
        <f t="shared" si="26"/>
        <v>281182.49216189736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6"/>
        <v/>
      </c>
      <c r="C48" s="470">
        <f>IF(D11="","-",+C47+1)</f>
        <v>2040</v>
      </c>
      <c r="D48" s="483">
        <f>IF(F47+SUM(E$17:E47)=D$10,F47,D$10-SUM(E$17:E47))</f>
        <v>1288376.2689839336</v>
      </c>
      <c r="E48" s="482">
        <f>IF(+I14&lt;F47,I14,D48)</f>
        <v>120228.10256410256</v>
      </c>
      <c r="F48" s="483">
        <f t="shared" si="24"/>
        <v>1168148.1664198311</v>
      </c>
      <c r="G48" s="484">
        <f t="shared" si="25"/>
        <v>266832.19200038846</v>
      </c>
      <c r="H48" s="453">
        <f t="shared" si="26"/>
        <v>266832.19200038846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6"/>
        <v/>
      </c>
      <c r="C49" s="470">
        <f>IF(D11="","-",+C48+1)</f>
        <v>2041</v>
      </c>
      <c r="D49" s="483">
        <f>IF(F48+SUM(E$17:E48)=D$10,F48,D$10-SUM(E$17:E48))</f>
        <v>1168148.1664198311</v>
      </c>
      <c r="E49" s="482">
        <f>IF(+I14&lt;F48,I14,D49)</f>
        <v>120228.10256410256</v>
      </c>
      <c r="F49" s="483">
        <f t="shared" ref="F49:F72" si="27">+D49-E49</f>
        <v>1047920.0638557286</v>
      </c>
      <c r="G49" s="484">
        <f t="shared" si="25"/>
        <v>252481.89183887953</v>
      </c>
      <c r="H49" s="453">
        <f t="shared" si="26"/>
        <v>252481.89183887953</v>
      </c>
      <c r="I49" s="473">
        <f t="shared" ref="I49:I72" si="28">H49-G49</f>
        <v>0</v>
      </c>
      <c r="J49" s="473"/>
      <c r="K49" s="485"/>
      <c r="L49" s="476">
        <f t="shared" ref="L49:L72" si="29">IF(K49&lt;&gt;0,+G49-K49,0)</f>
        <v>0</v>
      </c>
      <c r="M49" s="485"/>
      <c r="N49" s="476">
        <f t="shared" ref="N49:N72" si="30">IF(M49&lt;&gt;0,+H49-M49,0)</f>
        <v>0</v>
      </c>
      <c r="O49" s="476">
        <f t="shared" ref="O49:O72" si="31">+N49-L49</f>
        <v>0</v>
      </c>
      <c r="P49" s="241"/>
    </row>
    <row r="50" spans="2:16" ht="12.5">
      <c r="B50" s="160" t="str">
        <f t="shared" si="6"/>
        <v/>
      </c>
      <c r="C50" s="470">
        <f>IF(D11="","-",+C49+1)</f>
        <v>2042</v>
      </c>
      <c r="D50" s="483">
        <f>IF(F49+SUM(E$17:E49)=D$10,F49,D$10-SUM(E$17:E49))</f>
        <v>1047920.0638557286</v>
      </c>
      <c r="E50" s="482">
        <f>IF(+I14&lt;F49,I14,D50)</f>
        <v>120228.10256410256</v>
      </c>
      <c r="F50" s="483">
        <f t="shared" si="27"/>
        <v>927691.9612916261</v>
      </c>
      <c r="G50" s="484">
        <f t="shared" si="25"/>
        <v>238131.5916773706</v>
      </c>
      <c r="H50" s="453">
        <f t="shared" si="26"/>
        <v>238131.5916773706</v>
      </c>
      <c r="I50" s="473">
        <f t="shared" si="28"/>
        <v>0</v>
      </c>
      <c r="J50" s="473"/>
      <c r="K50" s="485"/>
      <c r="L50" s="476">
        <f t="shared" si="29"/>
        <v>0</v>
      </c>
      <c r="M50" s="485"/>
      <c r="N50" s="476">
        <f t="shared" si="30"/>
        <v>0</v>
      </c>
      <c r="O50" s="476">
        <f t="shared" si="31"/>
        <v>0</v>
      </c>
      <c r="P50" s="241"/>
    </row>
    <row r="51" spans="2:16" ht="12.5">
      <c r="B51" s="160" t="str">
        <f t="shared" si="6"/>
        <v/>
      </c>
      <c r="C51" s="470">
        <f>IF(D11="","-",+C50+1)</f>
        <v>2043</v>
      </c>
      <c r="D51" s="483">
        <f>IF(F50+SUM(E$17:E50)=D$10,F50,D$10-SUM(E$17:E50))</f>
        <v>927691.9612916261</v>
      </c>
      <c r="E51" s="482">
        <f>IF(+I14&lt;F50,I14,D51)</f>
        <v>120228.10256410256</v>
      </c>
      <c r="F51" s="483">
        <f t="shared" si="27"/>
        <v>807463.85872752359</v>
      </c>
      <c r="G51" s="484">
        <f t="shared" si="25"/>
        <v>223781.29151586167</v>
      </c>
      <c r="H51" s="453">
        <f t="shared" si="26"/>
        <v>223781.29151586167</v>
      </c>
      <c r="I51" s="473">
        <f t="shared" si="28"/>
        <v>0</v>
      </c>
      <c r="J51" s="473"/>
      <c r="K51" s="485"/>
      <c r="L51" s="476">
        <f t="shared" si="29"/>
        <v>0</v>
      </c>
      <c r="M51" s="485"/>
      <c r="N51" s="476">
        <f t="shared" si="30"/>
        <v>0</v>
      </c>
      <c r="O51" s="476">
        <f t="shared" si="31"/>
        <v>0</v>
      </c>
      <c r="P51" s="241"/>
    </row>
    <row r="52" spans="2:16" ht="12.5">
      <c r="B52" s="160" t="str">
        <f t="shared" si="6"/>
        <v/>
      </c>
      <c r="C52" s="470">
        <f>IF(D11="","-",+C51+1)</f>
        <v>2044</v>
      </c>
      <c r="D52" s="483">
        <f>IF(F51+SUM(E$17:E51)=D$10,F51,D$10-SUM(E$17:E51))</f>
        <v>807463.85872752359</v>
      </c>
      <c r="E52" s="482">
        <f>IF(+I14&lt;F51,I14,D52)</f>
        <v>120228.10256410256</v>
      </c>
      <c r="F52" s="483">
        <f t="shared" si="27"/>
        <v>687235.75616342109</v>
      </c>
      <c r="G52" s="484">
        <f t="shared" si="25"/>
        <v>209430.99135435274</v>
      </c>
      <c r="H52" s="453">
        <f t="shared" si="26"/>
        <v>209430.99135435274</v>
      </c>
      <c r="I52" s="473">
        <f t="shared" si="28"/>
        <v>0</v>
      </c>
      <c r="J52" s="473"/>
      <c r="K52" s="485"/>
      <c r="L52" s="476">
        <f t="shared" si="29"/>
        <v>0</v>
      </c>
      <c r="M52" s="485"/>
      <c r="N52" s="476">
        <f t="shared" si="30"/>
        <v>0</v>
      </c>
      <c r="O52" s="476">
        <f t="shared" si="31"/>
        <v>0</v>
      </c>
      <c r="P52" s="241"/>
    </row>
    <row r="53" spans="2:16" ht="12.5">
      <c r="B53" s="160" t="str">
        <f t="shared" si="6"/>
        <v/>
      </c>
      <c r="C53" s="470">
        <f>IF(D11="","-",+C52+1)</f>
        <v>2045</v>
      </c>
      <c r="D53" s="483">
        <f>IF(F52+SUM(E$17:E52)=D$10,F52,D$10-SUM(E$17:E52))</f>
        <v>687235.75616342109</v>
      </c>
      <c r="E53" s="482">
        <f>IF(+I14&lt;F52,I14,D53)</f>
        <v>120228.10256410256</v>
      </c>
      <c r="F53" s="483">
        <f t="shared" si="27"/>
        <v>567007.65359931858</v>
      </c>
      <c r="G53" s="484">
        <f t="shared" si="25"/>
        <v>195080.69119284381</v>
      </c>
      <c r="H53" s="453">
        <f t="shared" si="26"/>
        <v>195080.69119284381</v>
      </c>
      <c r="I53" s="473">
        <f t="shared" si="28"/>
        <v>0</v>
      </c>
      <c r="J53" s="473"/>
      <c r="K53" s="485"/>
      <c r="L53" s="476">
        <f t="shared" si="29"/>
        <v>0</v>
      </c>
      <c r="M53" s="485"/>
      <c r="N53" s="476">
        <f t="shared" si="30"/>
        <v>0</v>
      </c>
      <c r="O53" s="476">
        <f t="shared" si="31"/>
        <v>0</v>
      </c>
      <c r="P53" s="241"/>
    </row>
    <row r="54" spans="2:16" ht="12.5">
      <c r="B54" s="160" t="str">
        <f t="shared" si="6"/>
        <v/>
      </c>
      <c r="C54" s="470">
        <f>IF(D11="","-",+C53+1)</f>
        <v>2046</v>
      </c>
      <c r="D54" s="483">
        <f>IF(F53+SUM(E$17:E53)=D$10,F53,D$10-SUM(E$17:E53))</f>
        <v>567007.65359931858</v>
      </c>
      <c r="E54" s="482">
        <f>IF(+I14&lt;F53,I14,D54)</f>
        <v>120228.10256410256</v>
      </c>
      <c r="F54" s="483">
        <f t="shared" si="27"/>
        <v>446779.55103521602</v>
      </c>
      <c r="G54" s="484">
        <f t="shared" si="25"/>
        <v>180730.39103133488</v>
      </c>
      <c r="H54" s="453">
        <f t="shared" si="26"/>
        <v>180730.39103133488</v>
      </c>
      <c r="I54" s="473">
        <f t="shared" si="28"/>
        <v>0</v>
      </c>
      <c r="J54" s="473"/>
      <c r="K54" s="485"/>
      <c r="L54" s="476">
        <f t="shared" si="29"/>
        <v>0</v>
      </c>
      <c r="M54" s="485"/>
      <c r="N54" s="476">
        <f t="shared" si="30"/>
        <v>0</v>
      </c>
      <c r="O54" s="476">
        <f t="shared" si="31"/>
        <v>0</v>
      </c>
      <c r="P54" s="241"/>
    </row>
    <row r="55" spans="2:16" ht="12.5">
      <c r="B55" s="160" t="str">
        <f t="shared" si="6"/>
        <v/>
      </c>
      <c r="C55" s="470">
        <f>IF(D11="","-",+C54+1)</f>
        <v>2047</v>
      </c>
      <c r="D55" s="483">
        <f>IF(F54+SUM(E$17:E54)=D$10,F54,D$10-SUM(E$17:E54))</f>
        <v>446779.55103521602</v>
      </c>
      <c r="E55" s="482">
        <f>IF(+I14&lt;F54,I14,D55)</f>
        <v>120228.10256410256</v>
      </c>
      <c r="F55" s="483">
        <f t="shared" si="27"/>
        <v>326551.44847111346</v>
      </c>
      <c r="G55" s="484">
        <f t="shared" si="25"/>
        <v>166380.09086982594</v>
      </c>
      <c r="H55" s="453">
        <f t="shared" si="26"/>
        <v>166380.09086982594</v>
      </c>
      <c r="I55" s="473">
        <f t="shared" si="28"/>
        <v>0</v>
      </c>
      <c r="J55" s="473"/>
      <c r="K55" s="485"/>
      <c r="L55" s="476">
        <f t="shared" si="29"/>
        <v>0</v>
      </c>
      <c r="M55" s="485"/>
      <c r="N55" s="476">
        <f t="shared" si="30"/>
        <v>0</v>
      </c>
      <c r="O55" s="476">
        <f t="shared" si="31"/>
        <v>0</v>
      </c>
      <c r="P55" s="241"/>
    </row>
    <row r="56" spans="2:16" ht="12.5">
      <c r="B56" s="160" t="str">
        <f t="shared" si="6"/>
        <v/>
      </c>
      <c r="C56" s="470">
        <f>IF(D11="","-",+C55+1)</f>
        <v>2048</v>
      </c>
      <c r="D56" s="483">
        <f>IF(F55+SUM(E$17:E55)=D$10,F55,D$10-SUM(E$17:E55))</f>
        <v>326551.44847111346</v>
      </c>
      <c r="E56" s="482">
        <f>IF(+I14&lt;F55,I14,D56)</f>
        <v>120228.10256410256</v>
      </c>
      <c r="F56" s="483">
        <f t="shared" si="27"/>
        <v>206323.34590701089</v>
      </c>
      <c r="G56" s="484">
        <f t="shared" si="25"/>
        <v>152029.79070831701</v>
      </c>
      <c r="H56" s="453">
        <f t="shared" si="26"/>
        <v>152029.79070831701</v>
      </c>
      <c r="I56" s="473">
        <f t="shared" si="28"/>
        <v>0</v>
      </c>
      <c r="J56" s="473"/>
      <c r="K56" s="485"/>
      <c r="L56" s="476">
        <f t="shared" si="29"/>
        <v>0</v>
      </c>
      <c r="M56" s="485"/>
      <c r="N56" s="476">
        <f t="shared" si="30"/>
        <v>0</v>
      </c>
      <c r="O56" s="476">
        <f t="shared" si="31"/>
        <v>0</v>
      </c>
      <c r="P56" s="241"/>
    </row>
    <row r="57" spans="2:16" ht="12.5">
      <c r="B57" s="160" t="str">
        <f t="shared" si="6"/>
        <v/>
      </c>
      <c r="C57" s="470">
        <f>IF(D11="","-",+C56+1)</f>
        <v>2049</v>
      </c>
      <c r="D57" s="483">
        <f>IF(F56+SUM(E$17:E56)=D$10,F56,D$10-SUM(E$17:E56))</f>
        <v>206323.34590701089</v>
      </c>
      <c r="E57" s="482">
        <f>IF(+I14&lt;F56,I14,D57)</f>
        <v>120228.10256410256</v>
      </c>
      <c r="F57" s="483">
        <f t="shared" si="27"/>
        <v>86095.243342908332</v>
      </c>
      <c r="G57" s="484">
        <f t="shared" si="25"/>
        <v>137679.49054680808</v>
      </c>
      <c r="H57" s="453">
        <f t="shared" si="26"/>
        <v>137679.49054680808</v>
      </c>
      <c r="I57" s="473">
        <f t="shared" si="28"/>
        <v>0</v>
      </c>
      <c r="J57" s="473"/>
      <c r="K57" s="485"/>
      <c r="L57" s="476">
        <f t="shared" si="29"/>
        <v>0</v>
      </c>
      <c r="M57" s="485"/>
      <c r="N57" s="476">
        <f t="shared" si="30"/>
        <v>0</v>
      </c>
      <c r="O57" s="476">
        <f t="shared" si="31"/>
        <v>0</v>
      </c>
      <c r="P57" s="241"/>
    </row>
    <row r="58" spans="2:16" ht="12.5">
      <c r="B58" s="160" t="str">
        <f t="shared" si="6"/>
        <v/>
      </c>
      <c r="C58" s="470">
        <f>IF(D11="","-",+C57+1)</f>
        <v>2050</v>
      </c>
      <c r="D58" s="483">
        <f>IF(F57+SUM(E$17:E57)=D$10,F57,D$10-SUM(E$17:E57))</f>
        <v>86095.243342908332</v>
      </c>
      <c r="E58" s="482">
        <f>IF(+I14&lt;F57,I14,D58)</f>
        <v>86095.243342908332</v>
      </c>
      <c r="F58" s="483">
        <f t="shared" si="27"/>
        <v>0</v>
      </c>
      <c r="G58" s="484">
        <f t="shared" si="25"/>
        <v>91233.362293883853</v>
      </c>
      <c r="H58" s="453">
        <f t="shared" si="26"/>
        <v>91233.362293883853</v>
      </c>
      <c r="I58" s="473">
        <f t="shared" si="28"/>
        <v>0</v>
      </c>
      <c r="J58" s="473"/>
      <c r="K58" s="485"/>
      <c r="L58" s="476">
        <f t="shared" si="29"/>
        <v>0</v>
      </c>
      <c r="M58" s="485"/>
      <c r="N58" s="476">
        <f t="shared" si="30"/>
        <v>0</v>
      </c>
      <c r="O58" s="476">
        <f t="shared" si="31"/>
        <v>0</v>
      </c>
      <c r="P58" s="241"/>
    </row>
    <row r="59" spans="2:16" ht="12.5">
      <c r="B59" s="160" t="str">
        <f t="shared" si="6"/>
        <v/>
      </c>
      <c r="C59" s="470">
        <f>IF(D11="","-",+C58+1)</f>
        <v>2051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7"/>
        <v>0</v>
      </c>
      <c r="G59" s="484">
        <f t="shared" si="25"/>
        <v>0</v>
      </c>
      <c r="H59" s="453">
        <f t="shared" si="26"/>
        <v>0</v>
      </c>
      <c r="I59" s="473">
        <f t="shared" si="28"/>
        <v>0</v>
      </c>
      <c r="J59" s="473"/>
      <c r="K59" s="485"/>
      <c r="L59" s="476">
        <f t="shared" si="29"/>
        <v>0</v>
      </c>
      <c r="M59" s="485"/>
      <c r="N59" s="476">
        <f t="shared" si="30"/>
        <v>0</v>
      </c>
      <c r="O59" s="476">
        <f t="shared" si="31"/>
        <v>0</v>
      </c>
      <c r="P59" s="241"/>
    </row>
    <row r="60" spans="2:16" ht="12.5">
      <c r="B60" s="160" t="str">
        <f t="shared" si="6"/>
        <v/>
      </c>
      <c r="C60" s="470">
        <f>IF(D11="","-",+C59+1)</f>
        <v>2052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7"/>
        <v>0</v>
      </c>
      <c r="G60" s="484">
        <f t="shared" si="25"/>
        <v>0</v>
      </c>
      <c r="H60" s="453">
        <f t="shared" si="26"/>
        <v>0</v>
      </c>
      <c r="I60" s="473">
        <f t="shared" si="28"/>
        <v>0</v>
      </c>
      <c r="J60" s="473"/>
      <c r="K60" s="485"/>
      <c r="L60" s="476">
        <f t="shared" si="29"/>
        <v>0</v>
      </c>
      <c r="M60" s="485"/>
      <c r="N60" s="476">
        <f t="shared" si="30"/>
        <v>0</v>
      </c>
      <c r="O60" s="476">
        <f t="shared" si="31"/>
        <v>0</v>
      </c>
      <c r="P60" s="241"/>
    </row>
    <row r="61" spans="2:16" ht="12.5">
      <c r="B61" s="160" t="str">
        <f t="shared" si="6"/>
        <v/>
      </c>
      <c r="C61" s="470">
        <f>IF(D11="","-",+C60+1)</f>
        <v>2053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7"/>
        <v>0</v>
      </c>
      <c r="G61" s="484">
        <f t="shared" si="25"/>
        <v>0</v>
      </c>
      <c r="H61" s="453">
        <f t="shared" si="26"/>
        <v>0</v>
      </c>
      <c r="I61" s="473">
        <f t="shared" si="28"/>
        <v>0</v>
      </c>
      <c r="J61" s="473"/>
      <c r="K61" s="485"/>
      <c r="L61" s="476">
        <f t="shared" si="29"/>
        <v>0</v>
      </c>
      <c r="M61" s="485"/>
      <c r="N61" s="476">
        <f t="shared" si="30"/>
        <v>0</v>
      </c>
      <c r="O61" s="476">
        <f t="shared" si="31"/>
        <v>0</v>
      </c>
      <c r="P61" s="241"/>
    </row>
    <row r="62" spans="2:16" ht="12.5">
      <c r="B62" s="160" t="str">
        <f t="shared" si="6"/>
        <v/>
      </c>
      <c r="C62" s="470">
        <f>IF(D11="","-",+C61+1)</f>
        <v>2054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7"/>
        <v>0</v>
      </c>
      <c r="G62" s="484">
        <f t="shared" si="25"/>
        <v>0</v>
      </c>
      <c r="H62" s="453">
        <f t="shared" si="26"/>
        <v>0</v>
      </c>
      <c r="I62" s="473">
        <f t="shared" si="28"/>
        <v>0</v>
      </c>
      <c r="J62" s="473"/>
      <c r="K62" s="485"/>
      <c r="L62" s="476">
        <f t="shared" si="29"/>
        <v>0</v>
      </c>
      <c r="M62" s="485"/>
      <c r="N62" s="476">
        <f t="shared" si="30"/>
        <v>0</v>
      </c>
      <c r="O62" s="476">
        <f t="shared" si="31"/>
        <v>0</v>
      </c>
      <c r="P62" s="241"/>
    </row>
    <row r="63" spans="2:16" ht="12.5">
      <c r="B63" s="160" t="str">
        <f t="shared" si="6"/>
        <v/>
      </c>
      <c r="C63" s="470">
        <f>IF(D11="","-",+C62+1)</f>
        <v>2055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7"/>
        <v>0</v>
      </c>
      <c r="G63" s="484">
        <f t="shared" si="25"/>
        <v>0</v>
      </c>
      <c r="H63" s="453">
        <f t="shared" si="26"/>
        <v>0</v>
      </c>
      <c r="I63" s="473">
        <f t="shared" si="28"/>
        <v>0</v>
      </c>
      <c r="J63" s="473"/>
      <c r="K63" s="485"/>
      <c r="L63" s="476">
        <f t="shared" si="29"/>
        <v>0</v>
      </c>
      <c r="M63" s="485"/>
      <c r="N63" s="476">
        <f t="shared" si="30"/>
        <v>0</v>
      </c>
      <c r="O63" s="476">
        <f t="shared" si="31"/>
        <v>0</v>
      </c>
      <c r="P63" s="241"/>
    </row>
    <row r="64" spans="2:16" ht="12.5">
      <c r="B64" s="160" t="str">
        <f t="shared" si="6"/>
        <v/>
      </c>
      <c r="C64" s="470">
        <f>IF(D11="","-",+C63+1)</f>
        <v>2056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7"/>
        <v>0</v>
      </c>
      <c r="G64" s="484">
        <f t="shared" si="25"/>
        <v>0</v>
      </c>
      <c r="H64" s="453">
        <f t="shared" si="26"/>
        <v>0</v>
      </c>
      <c r="I64" s="473">
        <f t="shared" si="28"/>
        <v>0</v>
      </c>
      <c r="J64" s="473"/>
      <c r="K64" s="485"/>
      <c r="L64" s="476">
        <f t="shared" si="29"/>
        <v>0</v>
      </c>
      <c r="M64" s="485"/>
      <c r="N64" s="476">
        <f t="shared" si="30"/>
        <v>0</v>
      </c>
      <c r="O64" s="476">
        <f t="shared" si="31"/>
        <v>0</v>
      </c>
      <c r="P64" s="241"/>
    </row>
    <row r="65" spans="2:16" ht="12.5">
      <c r="B65" s="160" t="str">
        <f t="shared" si="6"/>
        <v/>
      </c>
      <c r="C65" s="470">
        <f>IF(D11="","-",+C64+1)</f>
        <v>2057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7"/>
        <v>0</v>
      </c>
      <c r="G65" s="484">
        <f t="shared" si="25"/>
        <v>0</v>
      </c>
      <c r="H65" s="453">
        <f t="shared" si="26"/>
        <v>0</v>
      </c>
      <c r="I65" s="473">
        <f t="shared" si="28"/>
        <v>0</v>
      </c>
      <c r="J65" s="473"/>
      <c r="K65" s="485"/>
      <c r="L65" s="476">
        <f t="shared" si="29"/>
        <v>0</v>
      </c>
      <c r="M65" s="485"/>
      <c r="N65" s="476">
        <f t="shared" si="30"/>
        <v>0</v>
      </c>
      <c r="O65" s="476">
        <f t="shared" si="31"/>
        <v>0</v>
      </c>
      <c r="P65" s="241"/>
    </row>
    <row r="66" spans="2:16" ht="12.5">
      <c r="B66" s="160" t="str">
        <f t="shared" si="6"/>
        <v/>
      </c>
      <c r="C66" s="470">
        <f>IF(D11="","-",+C65+1)</f>
        <v>2058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7"/>
        <v>0</v>
      </c>
      <c r="G66" s="484">
        <f t="shared" si="25"/>
        <v>0</v>
      </c>
      <c r="H66" s="453">
        <f t="shared" si="26"/>
        <v>0</v>
      </c>
      <c r="I66" s="473">
        <f t="shared" si="28"/>
        <v>0</v>
      </c>
      <c r="J66" s="473"/>
      <c r="K66" s="485"/>
      <c r="L66" s="476">
        <f t="shared" si="29"/>
        <v>0</v>
      </c>
      <c r="M66" s="485"/>
      <c r="N66" s="476">
        <f t="shared" si="30"/>
        <v>0</v>
      </c>
      <c r="O66" s="476">
        <f t="shared" si="31"/>
        <v>0</v>
      </c>
      <c r="P66" s="241"/>
    </row>
    <row r="67" spans="2:16" ht="12.5">
      <c r="B67" s="160" t="str">
        <f t="shared" si="6"/>
        <v/>
      </c>
      <c r="C67" s="470">
        <f>IF(D11="","-",+C66+1)</f>
        <v>2059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7"/>
        <v>0</v>
      </c>
      <c r="G67" s="484">
        <f t="shared" si="25"/>
        <v>0</v>
      </c>
      <c r="H67" s="453">
        <f t="shared" si="26"/>
        <v>0</v>
      </c>
      <c r="I67" s="473">
        <f t="shared" si="28"/>
        <v>0</v>
      </c>
      <c r="J67" s="473"/>
      <c r="K67" s="485"/>
      <c r="L67" s="476">
        <f t="shared" si="29"/>
        <v>0</v>
      </c>
      <c r="M67" s="485"/>
      <c r="N67" s="476">
        <f t="shared" si="30"/>
        <v>0</v>
      </c>
      <c r="O67" s="476">
        <f t="shared" si="31"/>
        <v>0</v>
      </c>
      <c r="P67" s="241"/>
    </row>
    <row r="68" spans="2:16" ht="12.5">
      <c r="B68" s="160" t="str">
        <f t="shared" si="6"/>
        <v/>
      </c>
      <c r="C68" s="470">
        <f>IF(D11="","-",+C67+1)</f>
        <v>2060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7"/>
        <v>0</v>
      </c>
      <c r="G68" s="484">
        <f t="shared" si="25"/>
        <v>0</v>
      </c>
      <c r="H68" s="453">
        <f t="shared" si="26"/>
        <v>0</v>
      </c>
      <c r="I68" s="473">
        <f t="shared" si="28"/>
        <v>0</v>
      </c>
      <c r="J68" s="473"/>
      <c r="K68" s="485"/>
      <c r="L68" s="476">
        <f t="shared" si="29"/>
        <v>0</v>
      </c>
      <c r="M68" s="485"/>
      <c r="N68" s="476">
        <f t="shared" si="30"/>
        <v>0</v>
      </c>
      <c r="O68" s="476">
        <f t="shared" si="31"/>
        <v>0</v>
      </c>
      <c r="P68" s="241"/>
    </row>
    <row r="69" spans="2:16" ht="12.5">
      <c r="B69" s="160" t="str">
        <f t="shared" si="6"/>
        <v/>
      </c>
      <c r="C69" s="470">
        <f>IF(D11="","-",+C68+1)</f>
        <v>2061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7"/>
        <v>0</v>
      </c>
      <c r="G69" s="484">
        <f t="shared" si="25"/>
        <v>0</v>
      </c>
      <c r="H69" s="453">
        <f t="shared" si="26"/>
        <v>0</v>
      </c>
      <c r="I69" s="473">
        <f t="shared" si="28"/>
        <v>0</v>
      </c>
      <c r="J69" s="473"/>
      <c r="K69" s="485"/>
      <c r="L69" s="476">
        <f t="shared" si="29"/>
        <v>0</v>
      </c>
      <c r="M69" s="485"/>
      <c r="N69" s="476">
        <f t="shared" si="30"/>
        <v>0</v>
      </c>
      <c r="O69" s="476">
        <f t="shared" si="31"/>
        <v>0</v>
      </c>
      <c r="P69" s="241"/>
    </row>
    <row r="70" spans="2:16" ht="12.5">
      <c r="B70" s="160" t="str">
        <f t="shared" si="6"/>
        <v/>
      </c>
      <c r="C70" s="470">
        <f>IF(D11="","-",+C69+1)</f>
        <v>2062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7"/>
        <v>0</v>
      </c>
      <c r="G70" s="484">
        <f t="shared" si="25"/>
        <v>0</v>
      </c>
      <c r="H70" s="453">
        <f t="shared" si="26"/>
        <v>0</v>
      </c>
      <c r="I70" s="473">
        <f t="shared" si="28"/>
        <v>0</v>
      </c>
      <c r="J70" s="473"/>
      <c r="K70" s="485"/>
      <c r="L70" s="476">
        <f t="shared" si="29"/>
        <v>0</v>
      </c>
      <c r="M70" s="485"/>
      <c r="N70" s="476">
        <f t="shared" si="30"/>
        <v>0</v>
      </c>
      <c r="O70" s="476">
        <f t="shared" si="31"/>
        <v>0</v>
      </c>
      <c r="P70" s="241"/>
    </row>
    <row r="71" spans="2:16" ht="12.5">
      <c r="B71" s="160" t="str">
        <f t="shared" si="6"/>
        <v/>
      </c>
      <c r="C71" s="470">
        <f>IF(D11="","-",+C70+1)</f>
        <v>2063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7"/>
        <v>0</v>
      </c>
      <c r="G71" s="484">
        <f t="shared" si="25"/>
        <v>0</v>
      </c>
      <c r="H71" s="453">
        <f t="shared" si="26"/>
        <v>0</v>
      </c>
      <c r="I71" s="473">
        <f t="shared" si="28"/>
        <v>0</v>
      </c>
      <c r="J71" s="473"/>
      <c r="K71" s="485"/>
      <c r="L71" s="476">
        <f t="shared" si="29"/>
        <v>0</v>
      </c>
      <c r="M71" s="485"/>
      <c r="N71" s="476">
        <f t="shared" si="30"/>
        <v>0</v>
      </c>
      <c r="O71" s="476">
        <f t="shared" si="31"/>
        <v>0</v>
      </c>
      <c r="P71" s="241"/>
    </row>
    <row r="72" spans="2:16" ht="13" thickBot="1">
      <c r="B72" s="160" t="str">
        <f t="shared" si="6"/>
        <v/>
      </c>
      <c r="C72" s="487">
        <f>IF(D11="","-",+C71+1)</f>
        <v>2064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7"/>
        <v>0</v>
      </c>
      <c r="G72" s="488">
        <f t="shared" si="25"/>
        <v>0</v>
      </c>
      <c r="H72" s="488">
        <f t="shared" si="26"/>
        <v>0</v>
      </c>
      <c r="I72" s="491">
        <f t="shared" si="28"/>
        <v>0</v>
      </c>
      <c r="J72" s="473"/>
      <c r="K72" s="492"/>
      <c r="L72" s="493">
        <f t="shared" si="29"/>
        <v>0</v>
      </c>
      <c r="M72" s="492"/>
      <c r="N72" s="493">
        <f t="shared" si="30"/>
        <v>0</v>
      </c>
      <c r="O72" s="493">
        <f t="shared" si="31"/>
        <v>0</v>
      </c>
      <c r="P72" s="241"/>
    </row>
    <row r="73" spans="2:16" ht="12.5">
      <c r="C73" s="345" t="s">
        <v>77</v>
      </c>
      <c r="D73" s="346"/>
      <c r="E73" s="346">
        <f>SUM(E17:E72)</f>
        <v>4688896.0000000009</v>
      </c>
      <c r="F73" s="346"/>
      <c r="G73" s="346">
        <f>SUM(G17:G72)</f>
        <v>17589858.618966516</v>
      </c>
      <c r="H73" s="346">
        <f>SUM(H17:H72)</f>
        <v>17589858.618966516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2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503612.14466528577</v>
      </c>
      <c r="N87" s="506">
        <f>IF(J92&lt;D11,0,VLOOKUP(J92,C17:O72,11))</f>
        <v>503612.14466528577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496260.51361260412</v>
      </c>
      <c r="N88" s="510">
        <f>IF(J92&lt;D11,0,VLOOKUP(J92,C99:P154,7))</f>
        <v>496260.51361260412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Craig Jct. to Broken Bow Dam 138 Rebuild (7.7mi)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-7351.6310526816524</v>
      </c>
      <c r="N89" s="515">
        <f>+N88-N87</f>
        <v>-7351.6310526816524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TP2007059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4688896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5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123392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2009</v>
      </c>
      <c r="D99" s="471">
        <v>0</v>
      </c>
      <c r="E99" s="478">
        <v>49223</v>
      </c>
      <c r="F99" s="477">
        <v>4676168</v>
      </c>
      <c r="G99" s="535">
        <v>2338084</v>
      </c>
      <c r="H99" s="536">
        <v>391070</v>
      </c>
      <c r="I99" s="537">
        <v>391070</v>
      </c>
      <c r="J99" s="476">
        <f t="shared" ref="J99:J130" si="32">+I99-H99</f>
        <v>0</v>
      </c>
      <c r="K99" s="476"/>
      <c r="L99" s="474">
        <f t="shared" ref="L99:L104" si="33">H99</f>
        <v>391070</v>
      </c>
      <c r="M99" s="475">
        <f t="shared" ref="M99:M130" si="34">IF(L99&lt;&gt;0,+H99-L99,0)</f>
        <v>0</v>
      </c>
      <c r="N99" s="474">
        <f t="shared" ref="N99:N104" si="35">I99</f>
        <v>391070</v>
      </c>
      <c r="O99" s="475">
        <f t="shared" ref="O99:O130" si="36">IF(N99&lt;&gt;0,+I99-N99,0)</f>
        <v>0</v>
      </c>
      <c r="P99" s="475">
        <f t="shared" ref="P99:P130" si="37">+O99-M99</f>
        <v>0</v>
      </c>
    </row>
    <row r="100" spans="1:16" ht="12.5">
      <c r="B100" s="160" t="str">
        <f>IF(D100=F99,"","IU")</f>
        <v>IU</v>
      </c>
      <c r="C100" s="470">
        <f>IF(D93="","-",+C99+1)</f>
        <v>2010</v>
      </c>
      <c r="D100" s="471">
        <v>4639673.1399999997</v>
      </c>
      <c r="E100" s="478">
        <v>91939</v>
      </c>
      <c r="F100" s="477">
        <v>4547734.1399999997</v>
      </c>
      <c r="G100" s="477">
        <v>4593703.6399999997</v>
      </c>
      <c r="H100" s="478">
        <v>830676.46951907186</v>
      </c>
      <c r="I100" s="479">
        <v>830676.46951907186</v>
      </c>
      <c r="J100" s="476">
        <f t="shared" si="32"/>
        <v>0</v>
      </c>
      <c r="K100" s="476"/>
      <c r="L100" s="538">
        <f t="shared" si="33"/>
        <v>830676.46951907186</v>
      </c>
      <c r="M100" s="539">
        <f t="shared" si="34"/>
        <v>0</v>
      </c>
      <c r="N100" s="538">
        <f t="shared" si="35"/>
        <v>830676.46951907186</v>
      </c>
      <c r="O100" s="476">
        <f t="shared" si="36"/>
        <v>0</v>
      </c>
      <c r="P100" s="476">
        <f t="shared" si="37"/>
        <v>0</v>
      </c>
    </row>
    <row r="101" spans="1:16" ht="12.5">
      <c r="B101" s="160" t="str">
        <f t="shared" ref="B101:B154" si="38">IF(D101=F100,"","IU")</f>
        <v/>
      </c>
      <c r="C101" s="480">
        <f>IF(D93="","-",+C100+1)</f>
        <v>2011</v>
      </c>
      <c r="D101" s="471">
        <v>4547734.1399999997</v>
      </c>
      <c r="E101" s="478">
        <v>90171</v>
      </c>
      <c r="F101" s="477">
        <v>4457563.1399999997</v>
      </c>
      <c r="G101" s="477">
        <v>4502648.6399999997</v>
      </c>
      <c r="H101" s="478">
        <v>719701.78616364778</v>
      </c>
      <c r="I101" s="479">
        <v>719701.78616364778</v>
      </c>
      <c r="J101" s="476">
        <f t="shared" si="32"/>
        <v>0</v>
      </c>
      <c r="K101" s="476"/>
      <c r="L101" s="538">
        <f t="shared" si="33"/>
        <v>719701.78616364778</v>
      </c>
      <c r="M101" s="539">
        <f t="shared" si="34"/>
        <v>0</v>
      </c>
      <c r="N101" s="538">
        <f t="shared" si="35"/>
        <v>719701.78616364778</v>
      </c>
      <c r="O101" s="476">
        <f t="shared" si="36"/>
        <v>0</v>
      </c>
      <c r="P101" s="476">
        <f t="shared" si="37"/>
        <v>0</v>
      </c>
    </row>
    <row r="102" spans="1:16" ht="12.5">
      <c r="B102" s="160" t="str">
        <f t="shared" si="38"/>
        <v/>
      </c>
      <c r="C102" s="470">
        <f>IF(D93="","-",+C101+1)</f>
        <v>2012</v>
      </c>
      <c r="D102" s="471">
        <v>4457563.1399999997</v>
      </c>
      <c r="E102" s="478">
        <v>90171</v>
      </c>
      <c r="F102" s="477">
        <v>4367392.1399999997</v>
      </c>
      <c r="G102" s="477">
        <v>4412477.6399999997</v>
      </c>
      <c r="H102" s="478">
        <v>724930.09682284109</v>
      </c>
      <c r="I102" s="479">
        <v>724930.09682284109</v>
      </c>
      <c r="J102" s="476">
        <v>0</v>
      </c>
      <c r="K102" s="476"/>
      <c r="L102" s="538">
        <f t="shared" si="33"/>
        <v>724930.09682284109</v>
      </c>
      <c r="M102" s="539">
        <f t="shared" ref="M102:M107" si="39">IF(L102&lt;&gt;0,+H102-L102,0)</f>
        <v>0</v>
      </c>
      <c r="N102" s="538">
        <f t="shared" si="35"/>
        <v>724930.09682284109</v>
      </c>
      <c r="O102" s="476">
        <f>IF(N102&lt;&gt;0,+I102-N102,0)</f>
        <v>0</v>
      </c>
      <c r="P102" s="476">
        <f>+O102-M102</f>
        <v>0</v>
      </c>
    </row>
    <row r="103" spans="1:16" ht="12.5">
      <c r="B103" s="160" t="str">
        <f t="shared" si="38"/>
        <v/>
      </c>
      <c r="C103" s="470">
        <f>IF(D93="","-",+C102+1)</f>
        <v>2013</v>
      </c>
      <c r="D103" s="471">
        <v>4367392.1399999997</v>
      </c>
      <c r="E103" s="478">
        <v>90171</v>
      </c>
      <c r="F103" s="477">
        <v>4277221.1399999997</v>
      </c>
      <c r="G103" s="477">
        <v>4322306.6399999997</v>
      </c>
      <c r="H103" s="478">
        <v>712322.06264393788</v>
      </c>
      <c r="I103" s="479">
        <v>712322.06264393788</v>
      </c>
      <c r="J103" s="476">
        <v>0</v>
      </c>
      <c r="K103" s="476"/>
      <c r="L103" s="538">
        <f t="shared" si="33"/>
        <v>712322.06264393788</v>
      </c>
      <c r="M103" s="539">
        <f t="shared" si="39"/>
        <v>0</v>
      </c>
      <c r="N103" s="538">
        <f t="shared" si="35"/>
        <v>712322.06264393788</v>
      </c>
      <c r="O103" s="476">
        <f>IF(N103&lt;&gt;0,+I103-N103,0)</f>
        <v>0</v>
      </c>
      <c r="P103" s="476">
        <f>+O103-M103</f>
        <v>0</v>
      </c>
    </row>
    <row r="104" spans="1:16" ht="12.5">
      <c r="B104" s="160" t="str">
        <f t="shared" si="38"/>
        <v/>
      </c>
      <c r="C104" s="470">
        <f>IF(D93="","-",+C103+1)</f>
        <v>2014</v>
      </c>
      <c r="D104" s="471">
        <v>4277221.1399999997</v>
      </c>
      <c r="E104" s="478">
        <v>90171</v>
      </c>
      <c r="F104" s="477">
        <v>4187050.1399999997</v>
      </c>
      <c r="G104" s="477">
        <v>4232135.6399999997</v>
      </c>
      <c r="H104" s="478">
        <v>685191.9710405051</v>
      </c>
      <c r="I104" s="479">
        <v>685191.9710405051</v>
      </c>
      <c r="J104" s="476">
        <v>0</v>
      </c>
      <c r="K104" s="476"/>
      <c r="L104" s="538">
        <f t="shared" si="33"/>
        <v>685191.9710405051</v>
      </c>
      <c r="M104" s="539">
        <f t="shared" si="39"/>
        <v>0</v>
      </c>
      <c r="N104" s="538">
        <f t="shared" si="35"/>
        <v>685191.9710405051</v>
      </c>
      <c r="O104" s="476">
        <f>IF(N104&lt;&gt;0,+I104-N104,0)</f>
        <v>0</v>
      </c>
      <c r="P104" s="476">
        <f>+O104-M104</f>
        <v>0</v>
      </c>
    </row>
    <row r="105" spans="1:16" ht="12.5">
      <c r="B105" s="160" t="str">
        <f t="shared" si="38"/>
        <v/>
      </c>
      <c r="C105" s="470">
        <f>IF(D93="","-",+C104+1)</f>
        <v>2015</v>
      </c>
      <c r="D105" s="471">
        <v>4187050.1399999997</v>
      </c>
      <c r="E105" s="478">
        <v>90171</v>
      </c>
      <c r="F105" s="477">
        <v>4096879.1399999997</v>
      </c>
      <c r="G105" s="477">
        <v>4141964.6399999997</v>
      </c>
      <c r="H105" s="478">
        <v>655308.7720911433</v>
      </c>
      <c r="I105" s="479">
        <v>655308.7720911433</v>
      </c>
      <c r="J105" s="476">
        <f t="shared" si="32"/>
        <v>0</v>
      </c>
      <c r="K105" s="476"/>
      <c r="L105" s="538">
        <f t="shared" ref="L105:L110" si="40">H105</f>
        <v>655308.7720911433</v>
      </c>
      <c r="M105" s="539">
        <f t="shared" si="39"/>
        <v>0</v>
      </c>
      <c r="N105" s="538">
        <f t="shared" ref="N105:N110" si="41">I105</f>
        <v>655308.7720911433</v>
      </c>
      <c r="O105" s="476">
        <f t="shared" si="36"/>
        <v>0</v>
      </c>
      <c r="P105" s="476">
        <f t="shared" si="37"/>
        <v>0</v>
      </c>
    </row>
    <row r="106" spans="1:16" ht="12.5">
      <c r="B106" s="160" t="str">
        <f t="shared" si="38"/>
        <v/>
      </c>
      <c r="C106" s="470">
        <f>IF(D93="","-",+C105+1)</f>
        <v>2016</v>
      </c>
      <c r="D106" s="471">
        <v>4096879.1399999997</v>
      </c>
      <c r="E106" s="478">
        <v>101933</v>
      </c>
      <c r="F106" s="477">
        <v>3994946.1399999997</v>
      </c>
      <c r="G106" s="477">
        <v>4045912.6399999997</v>
      </c>
      <c r="H106" s="478">
        <v>623514.8578657991</v>
      </c>
      <c r="I106" s="479">
        <v>623514.8578657991</v>
      </c>
      <c r="J106" s="476">
        <f t="shared" si="32"/>
        <v>0</v>
      </c>
      <c r="K106" s="476"/>
      <c r="L106" s="538">
        <f t="shared" si="40"/>
        <v>623514.8578657991</v>
      </c>
      <c r="M106" s="539">
        <f t="shared" si="39"/>
        <v>0</v>
      </c>
      <c r="N106" s="538">
        <f t="shared" si="41"/>
        <v>623514.8578657991</v>
      </c>
      <c r="O106" s="476">
        <f>IF(N106&lt;&gt;0,+I106-N106,0)</f>
        <v>0</v>
      </c>
      <c r="P106" s="476">
        <f>+O106-M106</f>
        <v>0</v>
      </c>
    </row>
    <row r="107" spans="1:16" ht="12.5">
      <c r="B107" s="160" t="str">
        <f t="shared" si="38"/>
        <v/>
      </c>
      <c r="C107" s="470">
        <f>IF(D93="","-",+C106+1)</f>
        <v>2017</v>
      </c>
      <c r="D107" s="471">
        <v>3994946.1399999997</v>
      </c>
      <c r="E107" s="478">
        <v>101933</v>
      </c>
      <c r="F107" s="477">
        <v>3893013.1399999997</v>
      </c>
      <c r="G107" s="477">
        <v>3943979.6399999997</v>
      </c>
      <c r="H107" s="478">
        <v>602236.76208219538</v>
      </c>
      <c r="I107" s="479">
        <v>602236.76208219538</v>
      </c>
      <c r="J107" s="476">
        <f t="shared" si="32"/>
        <v>0</v>
      </c>
      <c r="K107" s="476"/>
      <c r="L107" s="538">
        <f t="shared" si="40"/>
        <v>602236.76208219538</v>
      </c>
      <c r="M107" s="539">
        <f t="shared" si="39"/>
        <v>0</v>
      </c>
      <c r="N107" s="538">
        <f t="shared" si="41"/>
        <v>602236.76208219538</v>
      </c>
      <c r="O107" s="476">
        <f>IF(N107&lt;&gt;0,+I107-N107,0)</f>
        <v>0</v>
      </c>
      <c r="P107" s="476">
        <f>+O107-M107</f>
        <v>0</v>
      </c>
    </row>
    <row r="108" spans="1:16" ht="12.5">
      <c r="B108" s="160" t="str">
        <f t="shared" si="38"/>
        <v/>
      </c>
      <c r="C108" s="470">
        <f>IF(D93="","-",+C107+1)</f>
        <v>2018</v>
      </c>
      <c r="D108" s="471">
        <v>3893013.1399999997</v>
      </c>
      <c r="E108" s="478">
        <v>109044</v>
      </c>
      <c r="F108" s="477">
        <v>3783969.1399999997</v>
      </c>
      <c r="G108" s="477">
        <v>3838491.1399999997</v>
      </c>
      <c r="H108" s="478">
        <v>503393.56302800257</v>
      </c>
      <c r="I108" s="479">
        <v>503393.56302800257</v>
      </c>
      <c r="J108" s="476">
        <f t="shared" si="32"/>
        <v>0</v>
      </c>
      <c r="K108" s="476"/>
      <c r="L108" s="538">
        <f t="shared" si="40"/>
        <v>503393.56302800257</v>
      </c>
      <c r="M108" s="539">
        <f t="shared" ref="M108" si="42">IF(L108&lt;&gt;0,+H108-L108,0)</f>
        <v>0</v>
      </c>
      <c r="N108" s="538">
        <f t="shared" si="41"/>
        <v>503393.56302800257</v>
      </c>
      <c r="O108" s="476">
        <f>IF(N108&lt;&gt;0,+I108-N108,0)</f>
        <v>0</v>
      </c>
      <c r="P108" s="476">
        <f>+O108-M108</f>
        <v>0</v>
      </c>
    </row>
    <row r="109" spans="1:16" ht="12.5">
      <c r="B109" s="160" t="str">
        <f t="shared" si="38"/>
        <v/>
      </c>
      <c r="C109" s="470">
        <f>IF(D93="","-",+C108+1)</f>
        <v>2019</v>
      </c>
      <c r="D109" s="471">
        <v>3783969.1399999997</v>
      </c>
      <c r="E109" s="478">
        <v>114363</v>
      </c>
      <c r="F109" s="477">
        <v>3669606.1399999997</v>
      </c>
      <c r="G109" s="477">
        <v>3726787.6399999997</v>
      </c>
      <c r="H109" s="478">
        <v>498647.07790793071</v>
      </c>
      <c r="I109" s="479">
        <v>498647.07790793071</v>
      </c>
      <c r="J109" s="476">
        <f t="shared" si="32"/>
        <v>0</v>
      </c>
      <c r="K109" s="476"/>
      <c r="L109" s="538">
        <f t="shared" si="40"/>
        <v>498647.07790793071</v>
      </c>
      <c r="M109" s="539">
        <f t="shared" ref="M109" si="43">IF(L109&lt;&gt;0,+H109-L109,0)</f>
        <v>0</v>
      </c>
      <c r="N109" s="538">
        <f t="shared" si="41"/>
        <v>498647.07790793071</v>
      </c>
      <c r="O109" s="476">
        <f t="shared" si="36"/>
        <v>0</v>
      </c>
      <c r="P109" s="476">
        <f t="shared" si="37"/>
        <v>0</v>
      </c>
    </row>
    <row r="110" spans="1:16" ht="12.5">
      <c r="B110" s="160" t="str">
        <f t="shared" si="38"/>
        <v/>
      </c>
      <c r="C110" s="470">
        <f>IF(D93="","-",+C109+1)</f>
        <v>2020</v>
      </c>
      <c r="D110" s="471">
        <v>3669606.1399999997</v>
      </c>
      <c r="E110" s="478">
        <v>109044</v>
      </c>
      <c r="F110" s="477">
        <v>3560562.1399999997</v>
      </c>
      <c r="G110" s="477">
        <v>3615084.1399999997</v>
      </c>
      <c r="H110" s="478">
        <v>525853.2624876654</v>
      </c>
      <c r="I110" s="479">
        <v>525853.2624876654</v>
      </c>
      <c r="J110" s="476">
        <f t="shared" si="32"/>
        <v>0</v>
      </c>
      <c r="K110" s="476"/>
      <c r="L110" s="538">
        <f t="shared" si="40"/>
        <v>525853.2624876654</v>
      </c>
      <c r="M110" s="539">
        <f t="shared" ref="M110" si="44">IF(L110&lt;&gt;0,+H110-L110,0)</f>
        <v>0</v>
      </c>
      <c r="N110" s="538">
        <f t="shared" si="41"/>
        <v>525853.2624876654</v>
      </c>
      <c r="O110" s="476">
        <f t="shared" si="36"/>
        <v>0</v>
      </c>
      <c r="P110" s="476">
        <f t="shared" si="37"/>
        <v>0</v>
      </c>
    </row>
    <row r="111" spans="1:16" ht="12.5">
      <c r="B111" s="160" t="str">
        <f t="shared" si="38"/>
        <v/>
      </c>
      <c r="C111" s="470">
        <f>IF(D93="","-",+C110+1)</f>
        <v>2021</v>
      </c>
      <c r="D111" s="471">
        <v>3560562.1399999997</v>
      </c>
      <c r="E111" s="478">
        <v>114363</v>
      </c>
      <c r="F111" s="477">
        <v>3446199.1399999997</v>
      </c>
      <c r="G111" s="477">
        <v>3503380.6399999997</v>
      </c>
      <c r="H111" s="478">
        <v>513022.46807795716</v>
      </c>
      <c r="I111" s="479">
        <v>513022.46807795716</v>
      </c>
      <c r="J111" s="476">
        <f t="shared" si="32"/>
        <v>0</v>
      </c>
      <c r="K111" s="476"/>
      <c r="L111" s="538">
        <f t="shared" ref="L111" si="45">H111</f>
        <v>513022.46807795716</v>
      </c>
      <c r="M111" s="539">
        <f t="shared" ref="M111" si="46">IF(L111&lt;&gt;0,+H111-L111,0)</f>
        <v>0</v>
      </c>
      <c r="N111" s="538">
        <f t="shared" ref="N111" si="47">I111</f>
        <v>513022.46807795716</v>
      </c>
      <c r="O111" s="476">
        <f t="shared" si="36"/>
        <v>0</v>
      </c>
      <c r="P111" s="476">
        <f t="shared" si="37"/>
        <v>0</v>
      </c>
    </row>
    <row r="112" spans="1:16" ht="12.5">
      <c r="B112" s="160" t="str">
        <f t="shared" si="38"/>
        <v>IU</v>
      </c>
      <c r="C112" s="470">
        <f>IF(D93="","-",+C111+1)</f>
        <v>2022</v>
      </c>
      <c r="D112" s="471">
        <v>3446199</v>
      </c>
      <c r="E112" s="478">
        <v>120228</v>
      </c>
      <c r="F112" s="477">
        <v>3325971</v>
      </c>
      <c r="G112" s="477">
        <v>3386085</v>
      </c>
      <c r="H112" s="478">
        <v>493315.82816244458</v>
      </c>
      <c r="I112" s="479">
        <v>493315.82816244458</v>
      </c>
      <c r="J112" s="476">
        <f t="shared" si="32"/>
        <v>0</v>
      </c>
      <c r="K112" s="476"/>
      <c r="L112" s="538">
        <f t="shared" ref="L112" si="48">H112</f>
        <v>493315.82816244458</v>
      </c>
      <c r="M112" s="539">
        <f t="shared" ref="M112" si="49">IF(L112&lt;&gt;0,+H112-L112,0)</f>
        <v>0</v>
      </c>
      <c r="N112" s="538">
        <f t="shared" ref="N112" si="50">I112</f>
        <v>493315.82816244458</v>
      </c>
      <c r="O112" s="476">
        <f t="shared" ref="O112" si="51">IF(N112&lt;&gt;0,+I112-N112,0)</f>
        <v>0</v>
      </c>
      <c r="P112" s="476">
        <f t="shared" ref="P112" si="52">+O112-M112</f>
        <v>0</v>
      </c>
    </row>
    <row r="113" spans="2:16" ht="12.5">
      <c r="B113" s="160" t="str">
        <f t="shared" si="38"/>
        <v/>
      </c>
      <c r="C113" s="470">
        <f>IF(D93="","-",+C112+1)</f>
        <v>2023</v>
      </c>
      <c r="D113" s="345">
        <f>IF(F112+SUM(E$99:E112)=D$92,F112,D$92-SUM(E$99:E112))</f>
        <v>3325971</v>
      </c>
      <c r="E113" s="484">
        <f>IF(+J96&lt;F112,J96,D113)</f>
        <v>123392</v>
      </c>
      <c r="F113" s="483">
        <f t="shared" ref="F113:F130" si="53">+D113-E113</f>
        <v>3202579</v>
      </c>
      <c r="G113" s="483">
        <f t="shared" ref="G113:G130" si="54">+(F113+D113)/2</f>
        <v>3264275</v>
      </c>
      <c r="H113" s="484">
        <f t="shared" ref="H113:H154" si="55">(D113+F113)/2*J$94+E113</f>
        <v>496260.51361260412</v>
      </c>
      <c r="I113" s="540">
        <f t="shared" ref="I113:I154" si="56">+J$95*G113+E113</f>
        <v>496260.51361260412</v>
      </c>
      <c r="J113" s="476">
        <f t="shared" si="32"/>
        <v>0</v>
      </c>
      <c r="K113" s="476"/>
      <c r="L113" s="485"/>
      <c r="M113" s="476">
        <f t="shared" si="34"/>
        <v>0</v>
      </c>
      <c r="N113" s="485"/>
      <c r="O113" s="476">
        <f t="shared" si="36"/>
        <v>0</v>
      </c>
      <c r="P113" s="476">
        <f t="shared" si="37"/>
        <v>0</v>
      </c>
    </row>
    <row r="114" spans="2:16" ht="12.5">
      <c r="B114" s="160" t="str">
        <f t="shared" si="38"/>
        <v/>
      </c>
      <c r="C114" s="470">
        <f>IF(D93="","-",+C113+1)</f>
        <v>2024</v>
      </c>
      <c r="D114" s="345">
        <f>IF(F113+SUM(E$99:E113)=D$92,F113,D$92-SUM(E$99:E113))</f>
        <v>3202579</v>
      </c>
      <c r="E114" s="484">
        <f>IF(+J96&lt;F113,J96,D114)</f>
        <v>123392</v>
      </c>
      <c r="F114" s="483">
        <f t="shared" si="53"/>
        <v>3079187</v>
      </c>
      <c r="G114" s="483">
        <f t="shared" si="54"/>
        <v>3140883</v>
      </c>
      <c r="H114" s="484">
        <f t="shared" si="55"/>
        <v>482165.80908198509</v>
      </c>
      <c r="I114" s="540">
        <f t="shared" si="56"/>
        <v>482165.80908198509</v>
      </c>
      <c r="J114" s="476">
        <f t="shared" si="32"/>
        <v>0</v>
      </c>
      <c r="K114" s="476"/>
      <c r="L114" s="485"/>
      <c r="M114" s="476">
        <f t="shared" si="34"/>
        <v>0</v>
      </c>
      <c r="N114" s="485"/>
      <c r="O114" s="476">
        <f t="shared" si="36"/>
        <v>0</v>
      </c>
      <c r="P114" s="476">
        <f t="shared" si="37"/>
        <v>0</v>
      </c>
    </row>
    <row r="115" spans="2:16" ht="12.5">
      <c r="B115" s="160" t="str">
        <f t="shared" si="38"/>
        <v/>
      </c>
      <c r="C115" s="470">
        <f>IF(D93="","-",+C114+1)</f>
        <v>2025</v>
      </c>
      <c r="D115" s="345">
        <f>IF(F114+SUM(E$99:E114)=D$92,F114,D$92-SUM(E$99:E114))</f>
        <v>3079187</v>
      </c>
      <c r="E115" s="484">
        <f>IF(+J96&lt;F114,J96,D115)</f>
        <v>123392</v>
      </c>
      <c r="F115" s="483">
        <f t="shared" si="53"/>
        <v>2955795</v>
      </c>
      <c r="G115" s="483">
        <f t="shared" si="54"/>
        <v>3017491</v>
      </c>
      <c r="H115" s="484">
        <f t="shared" si="55"/>
        <v>468071.10455136606</v>
      </c>
      <c r="I115" s="540">
        <f t="shared" si="56"/>
        <v>468071.10455136606</v>
      </c>
      <c r="J115" s="476">
        <f t="shared" si="32"/>
        <v>0</v>
      </c>
      <c r="K115" s="476"/>
      <c r="L115" s="485"/>
      <c r="M115" s="476">
        <f t="shared" si="34"/>
        <v>0</v>
      </c>
      <c r="N115" s="485"/>
      <c r="O115" s="476">
        <f t="shared" si="36"/>
        <v>0</v>
      </c>
      <c r="P115" s="476">
        <f t="shared" si="37"/>
        <v>0</v>
      </c>
    </row>
    <row r="116" spans="2:16" ht="12.5">
      <c r="B116" s="160" t="str">
        <f t="shared" si="38"/>
        <v/>
      </c>
      <c r="C116" s="470">
        <f>IF(D93="","-",+C115+1)</f>
        <v>2026</v>
      </c>
      <c r="D116" s="345">
        <f>IF(F115+SUM(E$99:E115)=D$92,F115,D$92-SUM(E$99:E115))</f>
        <v>2955795</v>
      </c>
      <c r="E116" s="484">
        <f>IF(+J96&lt;F115,J96,D116)</f>
        <v>123392</v>
      </c>
      <c r="F116" s="483">
        <f t="shared" si="53"/>
        <v>2832403</v>
      </c>
      <c r="G116" s="483">
        <f t="shared" si="54"/>
        <v>2894099</v>
      </c>
      <c r="H116" s="484">
        <f t="shared" si="55"/>
        <v>453976.40002074698</v>
      </c>
      <c r="I116" s="540">
        <f t="shared" si="56"/>
        <v>453976.40002074698</v>
      </c>
      <c r="J116" s="476">
        <f t="shared" si="32"/>
        <v>0</v>
      </c>
      <c r="K116" s="476"/>
      <c r="L116" s="485"/>
      <c r="M116" s="476">
        <f t="shared" si="34"/>
        <v>0</v>
      </c>
      <c r="N116" s="485"/>
      <c r="O116" s="476">
        <f t="shared" si="36"/>
        <v>0</v>
      </c>
      <c r="P116" s="476">
        <f t="shared" si="37"/>
        <v>0</v>
      </c>
    </row>
    <row r="117" spans="2:16" ht="12.5">
      <c r="B117" s="160" t="str">
        <f t="shared" si="38"/>
        <v/>
      </c>
      <c r="C117" s="470">
        <f>IF(D93="","-",+C116+1)</f>
        <v>2027</v>
      </c>
      <c r="D117" s="345">
        <f>IF(F116+SUM(E$99:E116)=D$92,F116,D$92-SUM(E$99:E116))</f>
        <v>2832403</v>
      </c>
      <c r="E117" s="484">
        <f>IF(+J96&lt;F116,J96,D117)</f>
        <v>123392</v>
      </c>
      <c r="F117" s="483">
        <f t="shared" si="53"/>
        <v>2709011</v>
      </c>
      <c r="G117" s="483">
        <f t="shared" si="54"/>
        <v>2770707</v>
      </c>
      <c r="H117" s="484">
        <f t="shared" si="55"/>
        <v>439881.69549012795</v>
      </c>
      <c r="I117" s="540">
        <f t="shared" si="56"/>
        <v>439881.69549012795</v>
      </c>
      <c r="J117" s="476">
        <f t="shared" si="32"/>
        <v>0</v>
      </c>
      <c r="K117" s="476"/>
      <c r="L117" s="485"/>
      <c r="M117" s="476">
        <f t="shared" si="34"/>
        <v>0</v>
      </c>
      <c r="N117" s="485"/>
      <c r="O117" s="476">
        <f t="shared" si="36"/>
        <v>0</v>
      </c>
      <c r="P117" s="476">
        <f t="shared" si="37"/>
        <v>0</v>
      </c>
    </row>
    <row r="118" spans="2:16" ht="12.5">
      <c r="B118" s="160" t="str">
        <f t="shared" si="38"/>
        <v/>
      </c>
      <c r="C118" s="470">
        <f>IF(D93="","-",+C117+1)</f>
        <v>2028</v>
      </c>
      <c r="D118" s="345">
        <f>IF(F117+SUM(E$99:E117)=D$92,F117,D$92-SUM(E$99:E117))</f>
        <v>2709011</v>
      </c>
      <c r="E118" s="484">
        <f>IF(+J96&lt;F117,J96,D118)</f>
        <v>123392</v>
      </c>
      <c r="F118" s="483">
        <f t="shared" si="53"/>
        <v>2585619</v>
      </c>
      <c r="G118" s="483">
        <f t="shared" si="54"/>
        <v>2647315</v>
      </c>
      <c r="H118" s="484">
        <f t="shared" si="55"/>
        <v>425786.99095950893</v>
      </c>
      <c r="I118" s="540">
        <f t="shared" si="56"/>
        <v>425786.99095950893</v>
      </c>
      <c r="J118" s="476">
        <f t="shared" si="32"/>
        <v>0</v>
      </c>
      <c r="K118" s="476"/>
      <c r="L118" s="485"/>
      <c r="M118" s="476">
        <f t="shared" si="34"/>
        <v>0</v>
      </c>
      <c r="N118" s="485"/>
      <c r="O118" s="476">
        <f t="shared" si="36"/>
        <v>0</v>
      </c>
      <c r="P118" s="476">
        <f t="shared" si="37"/>
        <v>0</v>
      </c>
    </row>
    <row r="119" spans="2:16" ht="12.5">
      <c r="B119" s="160" t="str">
        <f t="shared" si="38"/>
        <v/>
      </c>
      <c r="C119" s="470">
        <f>IF(D93="","-",+C118+1)</f>
        <v>2029</v>
      </c>
      <c r="D119" s="345">
        <f>IF(F118+SUM(E$99:E118)=D$92,F118,D$92-SUM(E$99:E118))</f>
        <v>2585619</v>
      </c>
      <c r="E119" s="484">
        <f>IF(+J96&lt;F118,J96,D119)</f>
        <v>123392</v>
      </c>
      <c r="F119" s="483">
        <f t="shared" si="53"/>
        <v>2462227</v>
      </c>
      <c r="G119" s="483">
        <f t="shared" si="54"/>
        <v>2523923</v>
      </c>
      <c r="H119" s="484">
        <f t="shared" si="55"/>
        <v>411692.2864288899</v>
      </c>
      <c r="I119" s="540">
        <f t="shared" si="56"/>
        <v>411692.2864288899</v>
      </c>
      <c r="J119" s="476">
        <f t="shared" si="32"/>
        <v>0</v>
      </c>
      <c r="K119" s="476"/>
      <c r="L119" s="485"/>
      <c r="M119" s="476">
        <f t="shared" si="34"/>
        <v>0</v>
      </c>
      <c r="N119" s="485"/>
      <c r="O119" s="476">
        <f t="shared" si="36"/>
        <v>0</v>
      </c>
      <c r="P119" s="476">
        <f t="shared" si="37"/>
        <v>0</v>
      </c>
    </row>
    <row r="120" spans="2:16" ht="12.5">
      <c r="B120" s="160" t="str">
        <f t="shared" si="38"/>
        <v/>
      </c>
      <c r="C120" s="470">
        <f>IF(D93="","-",+C119+1)</f>
        <v>2030</v>
      </c>
      <c r="D120" s="345">
        <f>IF(F119+SUM(E$99:E119)=D$92,F119,D$92-SUM(E$99:E119))</f>
        <v>2462227</v>
      </c>
      <c r="E120" s="484">
        <f>IF(+J96&lt;F119,J96,D120)</f>
        <v>123392</v>
      </c>
      <c r="F120" s="483">
        <f t="shared" si="53"/>
        <v>2338835</v>
      </c>
      <c r="G120" s="483">
        <f t="shared" si="54"/>
        <v>2400531</v>
      </c>
      <c r="H120" s="484">
        <f t="shared" si="55"/>
        <v>397597.58189827087</v>
      </c>
      <c r="I120" s="540">
        <f t="shared" si="56"/>
        <v>397597.58189827087</v>
      </c>
      <c r="J120" s="476">
        <f t="shared" si="32"/>
        <v>0</v>
      </c>
      <c r="K120" s="476"/>
      <c r="L120" s="485"/>
      <c r="M120" s="476">
        <f t="shared" si="34"/>
        <v>0</v>
      </c>
      <c r="N120" s="485"/>
      <c r="O120" s="476">
        <f t="shared" si="36"/>
        <v>0</v>
      </c>
      <c r="P120" s="476">
        <f t="shared" si="37"/>
        <v>0</v>
      </c>
    </row>
    <row r="121" spans="2:16" ht="12.5">
      <c r="B121" s="160" t="str">
        <f t="shared" si="38"/>
        <v/>
      </c>
      <c r="C121" s="470">
        <f>IF(D93="","-",+C120+1)</f>
        <v>2031</v>
      </c>
      <c r="D121" s="345">
        <f>IF(F120+SUM(E$99:E120)=D$92,F120,D$92-SUM(E$99:E120))</f>
        <v>2338835</v>
      </c>
      <c r="E121" s="484">
        <f>IF(+J96&lt;F120,J96,D121)</f>
        <v>123392</v>
      </c>
      <c r="F121" s="483">
        <f t="shared" si="53"/>
        <v>2215443</v>
      </c>
      <c r="G121" s="483">
        <f t="shared" si="54"/>
        <v>2277139</v>
      </c>
      <c r="H121" s="484">
        <f t="shared" si="55"/>
        <v>383502.87736765185</v>
      </c>
      <c r="I121" s="540">
        <f t="shared" si="56"/>
        <v>383502.87736765185</v>
      </c>
      <c r="J121" s="476">
        <f t="shared" si="32"/>
        <v>0</v>
      </c>
      <c r="K121" s="476"/>
      <c r="L121" s="485"/>
      <c r="M121" s="476">
        <f t="shared" si="34"/>
        <v>0</v>
      </c>
      <c r="N121" s="485"/>
      <c r="O121" s="476">
        <f t="shared" si="36"/>
        <v>0</v>
      </c>
      <c r="P121" s="476">
        <f t="shared" si="37"/>
        <v>0</v>
      </c>
    </row>
    <row r="122" spans="2:16" ht="12.5">
      <c r="B122" s="160" t="str">
        <f t="shared" si="38"/>
        <v/>
      </c>
      <c r="C122" s="470">
        <f>IF(D93="","-",+C121+1)</f>
        <v>2032</v>
      </c>
      <c r="D122" s="345">
        <f>IF(F121+SUM(E$99:E121)=D$92,F121,D$92-SUM(E$99:E121))</f>
        <v>2215443</v>
      </c>
      <c r="E122" s="484">
        <f>IF(+J96&lt;F121,J96,D122)</f>
        <v>123392</v>
      </c>
      <c r="F122" s="483">
        <f t="shared" si="53"/>
        <v>2092051</v>
      </c>
      <c r="G122" s="483">
        <f t="shared" si="54"/>
        <v>2153747</v>
      </c>
      <c r="H122" s="484">
        <f t="shared" si="55"/>
        <v>369408.17283703282</v>
      </c>
      <c r="I122" s="540">
        <f t="shared" si="56"/>
        <v>369408.17283703282</v>
      </c>
      <c r="J122" s="476">
        <f t="shared" si="32"/>
        <v>0</v>
      </c>
      <c r="K122" s="476"/>
      <c r="L122" s="485"/>
      <c r="M122" s="476">
        <f t="shared" si="34"/>
        <v>0</v>
      </c>
      <c r="N122" s="485"/>
      <c r="O122" s="476">
        <f t="shared" si="36"/>
        <v>0</v>
      </c>
      <c r="P122" s="476">
        <f t="shared" si="37"/>
        <v>0</v>
      </c>
    </row>
    <row r="123" spans="2:16" ht="12.5">
      <c r="B123" s="160" t="str">
        <f t="shared" si="38"/>
        <v/>
      </c>
      <c r="C123" s="470">
        <f>IF(D93="","-",+C122+1)</f>
        <v>2033</v>
      </c>
      <c r="D123" s="345">
        <f>IF(F122+SUM(E$99:E122)=D$92,F122,D$92-SUM(E$99:E122))</f>
        <v>2092051</v>
      </c>
      <c r="E123" s="484">
        <f>IF(+J96&lt;F122,J96,D123)</f>
        <v>123392</v>
      </c>
      <c r="F123" s="483">
        <f t="shared" si="53"/>
        <v>1968659</v>
      </c>
      <c r="G123" s="483">
        <f t="shared" si="54"/>
        <v>2030355</v>
      </c>
      <c r="H123" s="484">
        <f t="shared" si="55"/>
        <v>355313.46830641374</v>
      </c>
      <c r="I123" s="540">
        <f t="shared" si="56"/>
        <v>355313.46830641374</v>
      </c>
      <c r="J123" s="476">
        <f t="shared" si="32"/>
        <v>0</v>
      </c>
      <c r="K123" s="476"/>
      <c r="L123" s="485"/>
      <c r="M123" s="476">
        <f t="shared" si="34"/>
        <v>0</v>
      </c>
      <c r="N123" s="485"/>
      <c r="O123" s="476">
        <f t="shared" si="36"/>
        <v>0</v>
      </c>
      <c r="P123" s="476">
        <f t="shared" si="37"/>
        <v>0</v>
      </c>
    </row>
    <row r="124" spans="2:16" ht="12.5">
      <c r="B124" s="160" t="str">
        <f t="shared" si="38"/>
        <v/>
      </c>
      <c r="C124" s="470">
        <f>IF(D93="","-",+C123+1)</f>
        <v>2034</v>
      </c>
      <c r="D124" s="345">
        <f>IF(F123+SUM(E$99:E123)=D$92,F123,D$92-SUM(E$99:E123))</f>
        <v>1968659</v>
      </c>
      <c r="E124" s="484">
        <f>IF(+J96&lt;F123,J96,D124)</f>
        <v>123392</v>
      </c>
      <c r="F124" s="483">
        <f t="shared" si="53"/>
        <v>1845267</v>
      </c>
      <c r="G124" s="483">
        <f t="shared" si="54"/>
        <v>1906963</v>
      </c>
      <c r="H124" s="484">
        <f t="shared" si="55"/>
        <v>341218.76377579477</v>
      </c>
      <c r="I124" s="540">
        <f t="shared" si="56"/>
        <v>341218.76377579477</v>
      </c>
      <c r="J124" s="476">
        <f t="shared" si="32"/>
        <v>0</v>
      </c>
      <c r="K124" s="476"/>
      <c r="L124" s="485"/>
      <c r="M124" s="476">
        <f t="shared" si="34"/>
        <v>0</v>
      </c>
      <c r="N124" s="485"/>
      <c r="O124" s="476">
        <f t="shared" si="36"/>
        <v>0</v>
      </c>
      <c r="P124" s="476">
        <f t="shared" si="37"/>
        <v>0</v>
      </c>
    </row>
    <row r="125" spans="2:16" ht="12.5">
      <c r="B125" s="160" t="str">
        <f t="shared" si="38"/>
        <v/>
      </c>
      <c r="C125" s="470">
        <f>IF(D93="","-",+C124+1)</f>
        <v>2035</v>
      </c>
      <c r="D125" s="345">
        <f>IF(F124+SUM(E$99:E124)=D$92,F124,D$92-SUM(E$99:E124))</f>
        <v>1845267</v>
      </c>
      <c r="E125" s="484">
        <f>IF(+J96&lt;F124,J96,D125)</f>
        <v>123392</v>
      </c>
      <c r="F125" s="483">
        <f t="shared" si="53"/>
        <v>1721875</v>
      </c>
      <c r="G125" s="483">
        <f t="shared" si="54"/>
        <v>1783571</v>
      </c>
      <c r="H125" s="484">
        <f t="shared" si="55"/>
        <v>327124.05924517568</v>
      </c>
      <c r="I125" s="540">
        <f t="shared" si="56"/>
        <v>327124.05924517568</v>
      </c>
      <c r="J125" s="476">
        <f t="shared" si="32"/>
        <v>0</v>
      </c>
      <c r="K125" s="476"/>
      <c r="L125" s="485"/>
      <c r="M125" s="476">
        <f t="shared" si="34"/>
        <v>0</v>
      </c>
      <c r="N125" s="485"/>
      <c r="O125" s="476">
        <f t="shared" si="36"/>
        <v>0</v>
      </c>
      <c r="P125" s="476">
        <f t="shared" si="37"/>
        <v>0</v>
      </c>
    </row>
    <row r="126" spans="2:16" ht="12.5">
      <c r="B126" s="160" t="str">
        <f t="shared" si="38"/>
        <v/>
      </c>
      <c r="C126" s="470">
        <f>IF(D93="","-",+C125+1)</f>
        <v>2036</v>
      </c>
      <c r="D126" s="345">
        <f>IF(F125+SUM(E$99:E125)=D$92,F125,D$92-SUM(E$99:E125))</f>
        <v>1721875</v>
      </c>
      <c r="E126" s="484">
        <f>IF(+J96&lt;F125,J96,D126)</f>
        <v>123392</v>
      </c>
      <c r="F126" s="483">
        <f t="shared" si="53"/>
        <v>1598483</v>
      </c>
      <c r="G126" s="483">
        <f t="shared" si="54"/>
        <v>1660179</v>
      </c>
      <c r="H126" s="484">
        <f t="shared" si="55"/>
        <v>313029.35471455666</v>
      </c>
      <c r="I126" s="540">
        <f t="shared" si="56"/>
        <v>313029.35471455666</v>
      </c>
      <c r="J126" s="476">
        <f t="shared" si="32"/>
        <v>0</v>
      </c>
      <c r="K126" s="476"/>
      <c r="L126" s="485"/>
      <c r="M126" s="476">
        <f t="shared" si="34"/>
        <v>0</v>
      </c>
      <c r="N126" s="485"/>
      <c r="O126" s="476">
        <f t="shared" si="36"/>
        <v>0</v>
      </c>
      <c r="P126" s="476">
        <f t="shared" si="37"/>
        <v>0</v>
      </c>
    </row>
    <row r="127" spans="2:16" ht="12.5">
      <c r="B127" s="160" t="str">
        <f t="shared" si="38"/>
        <v/>
      </c>
      <c r="C127" s="470">
        <f>IF(D93="","-",+C126+1)</f>
        <v>2037</v>
      </c>
      <c r="D127" s="345">
        <f>IF(F126+SUM(E$99:E126)=D$92,F126,D$92-SUM(E$99:E126))</f>
        <v>1598483</v>
      </c>
      <c r="E127" s="484">
        <f>IF(+J96&lt;F126,J96,D127)</f>
        <v>123392</v>
      </c>
      <c r="F127" s="483">
        <f t="shared" si="53"/>
        <v>1475091</v>
      </c>
      <c r="G127" s="483">
        <f t="shared" si="54"/>
        <v>1536787</v>
      </c>
      <c r="H127" s="484">
        <f t="shared" si="55"/>
        <v>298934.65018393763</v>
      </c>
      <c r="I127" s="540">
        <f t="shared" si="56"/>
        <v>298934.65018393763</v>
      </c>
      <c r="J127" s="476">
        <f t="shared" si="32"/>
        <v>0</v>
      </c>
      <c r="K127" s="476"/>
      <c r="L127" s="485"/>
      <c r="M127" s="476">
        <f t="shared" si="34"/>
        <v>0</v>
      </c>
      <c r="N127" s="485"/>
      <c r="O127" s="476">
        <f t="shared" si="36"/>
        <v>0</v>
      </c>
      <c r="P127" s="476">
        <f t="shared" si="37"/>
        <v>0</v>
      </c>
    </row>
    <row r="128" spans="2:16" ht="12.5">
      <c r="B128" s="160" t="str">
        <f t="shared" si="38"/>
        <v/>
      </c>
      <c r="C128" s="470">
        <f>IF(D93="","-",+C127+1)</f>
        <v>2038</v>
      </c>
      <c r="D128" s="345">
        <f>IF(F127+SUM(E$99:E127)=D$92,F127,D$92-SUM(E$99:E127))</f>
        <v>1475091</v>
      </c>
      <c r="E128" s="484">
        <f>IF(+J96&lt;F127,J96,D128)</f>
        <v>123392</v>
      </c>
      <c r="F128" s="483">
        <f t="shared" si="53"/>
        <v>1351699</v>
      </c>
      <c r="G128" s="483">
        <f t="shared" si="54"/>
        <v>1413395</v>
      </c>
      <c r="H128" s="484">
        <f t="shared" si="55"/>
        <v>284839.9456533186</v>
      </c>
      <c r="I128" s="540">
        <f t="shared" si="56"/>
        <v>284839.9456533186</v>
      </c>
      <c r="J128" s="476">
        <f t="shared" si="32"/>
        <v>0</v>
      </c>
      <c r="K128" s="476"/>
      <c r="L128" s="485"/>
      <c r="M128" s="476">
        <f t="shared" si="34"/>
        <v>0</v>
      </c>
      <c r="N128" s="485"/>
      <c r="O128" s="476">
        <f t="shared" si="36"/>
        <v>0</v>
      </c>
      <c r="P128" s="476">
        <f t="shared" si="37"/>
        <v>0</v>
      </c>
    </row>
    <row r="129" spans="2:16" ht="12.5">
      <c r="B129" s="160" t="str">
        <f t="shared" si="38"/>
        <v/>
      </c>
      <c r="C129" s="470">
        <f>IF(D93="","-",+C128+1)</f>
        <v>2039</v>
      </c>
      <c r="D129" s="345">
        <f>IF(F128+SUM(E$99:E128)=D$92,F128,D$92-SUM(E$99:E128))</f>
        <v>1351699</v>
      </c>
      <c r="E129" s="484">
        <f>IF(+J96&lt;F128,J96,D129)</f>
        <v>123392</v>
      </c>
      <c r="F129" s="483">
        <f t="shared" si="53"/>
        <v>1228307</v>
      </c>
      <c r="G129" s="483">
        <f t="shared" si="54"/>
        <v>1290003</v>
      </c>
      <c r="H129" s="484">
        <f t="shared" si="55"/>
        <v>270745.24112269958</v>
      </c>
      <c r="I129" s="540">
        <f t="shared" si="56"/>
        <v>270745.24112269958</v>
      </c>
      <c r="J129" s="476">
        <f t="shared" si="32"/>
        <v>0</v>
      </c>
      <c r="K129" s="476"/>
      <c r="L129" s="485"/>
      <c r="M129" s="476">
        <f t="shared" si="34"/>
        <v>0</v>
      </c>
      <c r="N129" s="485"/>
      <c r="O129" s="476">
        <f t="shared" si="36"/>
        <v>0</v>
      </c>
      <c r="P129" s="476">
        <f t="shared" si="37"/>
        <v>0</v>
      </c>
    </row>
    <row r="130" spans="2:16" ht="12.5">
      <c r="B130" s="160" t="str">
        <f t="shared" si="38"/>
        <v/>
      </c>
      <c r="C130" s="470">
        <f>IF(D93="","-",+C129+1)</f>
        <v>2040</v>
      </c>
      <c r="D130" s="345">
        <f>IF(F129+SUM(E$99:E129)=D$92,F129,D$92-SUM(E$99:E129))</f>
        <v>1228307</v>
      </c>
      <c r="E130" s="484">
        <f>IF(+J96&lt;F129,J96,D130)</f>
        <v>123392</v>
      </c>
      <c r="F130" s="483">
        <f t="shared" si="53"/>
        <v>1104915</v>
      </c>
      <c r="G130" s="483">
        <f t="shared" si="54"/>
        <v>1166611</v>
      </c>
      <c r="H130" s="484">
        <f t="shared" si="55"/>
        <v>256650.53659208052</v>
      </c>
      <c r="I130" s="540">
        <f t="shared" si="56"/>
        <v>256650.53659208052</v>
      </c>
      <c r="J130" s="476">
        <f t="shared" si="32"/>
        <v>0</v>
      </c>
      <c r="K130" s="476"/>
      <c r="L130" s="485"/>
      <c r="M130" s="476">
        <f t="shared" si="34"/>
        <v>0</v>
      </c>
      <c r="N130" s="485"/>
      <c r="O130" s="476">
        <f t="shared" si="36"/>
        <v>0</v>
      </c>
      <c r="P130" s="476">
        <f t="shared" si="37"/>
        <v>0</v>
      </c>
    </row>
    <row r="131" spans="2:16" ht="12.5">
      <c r="B131" s="160" t="str">
        <f t="shared" si="38"/>
        <v/>
      </c>
      <c r="C131" s="470">
        <f>IF(D93="","-",+C130+1)</f>
        <v>2041</v>
      </c>
      <c r="D131" s="345">
        <f>IF(F130+SUM(E$99:E130)=D$92,F130,D$92-SUM(E$99:E130))</f>
        <v>1104915</v>
      </c>
      <c r="E131" s="484">
        <f>IF(+J96&lt;F130,J96,D131)</f>
        <v>123392</v>
      </c>
      <c r="F131" s="483">
        <f t="shared" ref="F131:F154" si="57">+D131-E131</f>
        <v>981523</v>
      </c>
      <c r="G131" s="483">
        <f t="shared" ref="G131:G154" si="58">+(F131+D131)/2</f>
        <v>1043219</v>
      </c>
      <c r="H131" s="484">
        <f t="shared" si="55"/>
        <v>242555.83206146152</v>
      </c>
      <c r="I131" s="540">
        <f t="shared" si="56"/>
        <v>242555.83206146152</v>
      </c>
      <c r="J131" s="476">
        <f t="shared" ref="J131:J154" si="59">+I131-H131</f>
        <v>0</v>
      </c>
      <c r="K131" s="476"/>
      <c r="L131" s="485"/>
      <c r="M131" s="476">
        <f t="shared" ref="M131:M154" si="60">IF(L131&lt;&gt;0,+H131-L131,0)</f>
        <v>0</v>
      </c>
      <c r="N131" s="485"/>
      <c r="O131" s="476">
        <f t="shared" ref="O131:O154" si="61">IF(N131&lt;&gt;0,+I131-N131,0)</f>
        <v>0</v>
      </c>
      <c r="P131" s="476">
        <f t="shared" ref="P131:P154" si="62">+O131-M131</f>
        <v>0</v>
      </c>
    </row>
    <row r="132" spans="2:16" ht="12.5">
      <c r="B132" s="160" t="str">
        <f t="shared" si="38"/>
        <v/>
      </c>
      <c r="C132" s="470">
        <f>IF(D93="","-",+C131+1)</f>
        <v>2042</v>
      </c>
      <c r="D132" s="345">
        <f>IF(F131+SUM(E$99:E131)=D$92,F131,D$92-SUM(E$99:E131))</f>
        <v>981523</v>
      </c>
      <c r="E132" s="484">
        <f>IF(+J96&lt;F131,J96,D132)</f>
        <v>123392</v>
      </c>
      <c r="F132" s="483">
        <f t="shared" si="57"/>
        <v>858131</v>
      </c>
      <c r="G132" s="483">
        <f t="shared" si="58"/>
        <v>919827</v>
      </c>
      <c r="H132" s="484">
        <f t="shared" si="55"/>
        <v>228461.12753084247</v>
      </c>
      <c r="I132" s="540">
        <f t="shared" si="56"/>
        <v>228461.12753084247</v>
      </c>
      <c r="J132" s="476">
        <f t="shared" si="59"/>
        <v>0</v>
      </c>
      <c r="K132" s="476"/>
      <c r="L132" s="485"/>
      <c r="M132" s="476">
        <f t="shared" si="60"/>
        <v>0</v>
      </c>
      <c r="N132" s="485"/>
      <c r="O132" s="476">
        <f t="shared" si="61"/>
        <v>0</v>
      </c>
      <c r="P132" s="476">
        <f t="shared" si="62"/>
        <v>0</v>
      </c>
    </row>
    <row r="133" spans="2:16" ht="12.5">
      <c r="B133" s="160" t="str">
        <f t="shared" si="38"/>
        <v/>
      </c>
      <c r="C133" s="470">
        <f>IF(D93="","-",+C132+1)</f>
        <v>2043</v>
      </c>
      <c r="D133" s="345">
        <f>IF(F132+SUM(E$99:E132)=D$92,F132,D$92-SUM(E$99:E132))</f>
        <v>858131</v>
      </c>
      <c r="E133" s="484">
        <f>IF(+J96&lt;F132,J96,D133)</f>
        <v>123392</v>
      </c>
      <c r="F133" s="483">
        <f t="shared" si="57"/>
        <v>734739</v>
      </c>
      <c r="G133" s="483">
        <f t="shared" si="58"/>
        <v>796435</v>
      </c>
      <c r="H133" s="484">
        <f t="shared" si="55"/>
        <v>214366.42300022344</v>
      </c>
      <c r="I133" s="540">
        <f t="shared" si="56"/>
        <v>214366.42300022344</v>
      </c>
      <c r="J133" s="476">
        <f t="shared" si="59"/>
        <v>0</v>
      </c>
      <c r="K133" s="476"/>
      <c r="L133" s="485"/>
      <c r="M133" s="476">
        <f t="shared" si="60"/>
        <v>0</v>
      </c>
      <c r="N133" s="485"/>
      <c r="O133" s="476">
        <f t="shared" si="61"/>
        <v>0</v>
      </c>
      <c r="P133" s="476">
        <f t="shared" si="62"/>
        <v>0</v>
      </c>
    </row>
    <row r="134" spans="2:16" ht="12.5">
      <c r="B134" s="160" t="str">
        <f t="shared" si="38"/>
        <v/>
      </c>
      <c r="C134" s="470">
        <f>IF(D93="","-",+C133+1)</f>
        <v>2044</v>
      </c>
      <c r="D134" s="345">
        <f>IF(F133+SUM(E$99:E133)=D$92,F133,D$92-SUM(E$99:E133))</f>
        <v>734739</v>
      </c>
      <c r="E134" s="484">
        <f>IF(+J96&lt;F133,J96,D134)</f>
        <v>123392</v>
      </c>
      <c r="F134" s="483">
        <f t="shared" si="57"/>
        <v>611347</v>
      </c>
      <c r="G134" s="483">
        <f t="shared" si="58"/>
        <v>673043</v>
      </c>
      <c r="H134" s="484">
        <f t="shared" si="55"/>
        <v>200271.71846960438</v>
      </c>
      <c r="I134" s="540">
        <f t="shared" si="56"/>
        <v>200271.71846960438</v>
      </c>
      <c r="J134" s="476">
        <f t="shared" si="59"/>
        <v>0</v>
      </c>
      <c r="K134" s="476"/>
      <c r="L134" s="485"/>
      <c r="M134" s="476">
        <f t="shared" si="60"/>
        <v>0</v>
      </c>
      <c r="N134" s="485"/>
      <c r="O134" s="476">
        <f t="shared" si="61"/>
        <v>0</v>
      </c>
      <c r="P134" s="476">
        <f t="shared" si="62"/>
        <v>0</v>
      </c>
    </row>
    <row r="135" spans="2:16" ht="12.5">
      <c r="B135" s="160" t="str">
        <f t="shared" si="38"/>
        <v/>
      </c>
      <c r="C135" s="470">
        <f>IF(D93="","-",+C134+1)</f>
        <v>2045</v>
      </c>
      <c r="D135" s="345">
        <f>IF(F134+SUM(E$99:E134)=D$92,F134,D$92-SUM(E$99:E134))</f>
        <v>611347</v>
      </c>
      <c r="E135" s="484">
        <f>IF(+J96&lt;F134,J96,D135)</f>
        <v>123392</v>
      </c>
      <c r="F135" s="483">
        <f t="shared" si="57"/>
        <v>487955</v>
      </c>
      <c r="G135" s="483">
        <f t="shared" si="58"/>
        <v>549651</v>
      </c>
      <c r="H135" s="484">
        <f t="shared" si="55"/>
        <v>186177.01393898536</v>
      </c>
      <c r="I135" s="540">
        <f t="shared" si="56"/>
        <v>186177.01393898536</v>
      </c>
      <c r="J135" s="476">
        <f t="shared" si="59"/>
        <v>0</v>
      </c>
      <c r="K135" s="476"/>
      <c r="L135" s="485"/>
      <c r="M135" s="476">
        <f t="shared" si="60"/>
        <v>0</v>
      </c>
      <c r="N135" s="485"/>
      <c r="O135" s="476">
        <f t="shared" si="61"/>
        <v>0</v>
      </c>
      <c r="P135" s="476">
        <f t="shared" si="62"/>
        <v>0</v>
      </c>
    </row>
    <row r="136" spans="2:16" ht="12.5">
      <c r="B136" s="160" t="str">
        <f t="shared" si="38"/>
        <v/>
      </c>
      <c r="C136" s="470">
        <f>IF(D93="","-",+C135+1)</f>
        <v>2046</v>
      </c>
      <c r="D136" s="345">
        <f>IF(F135+SUM(E$99:E135)=D$92,F135,D$92-SUM(E$99:E135))</f>
        <v>487955</v>
      </c>
      <c r="E136" s="484">
        <f>IF(+J96&lt;F135,J96,D136)</f>
        <v>123392</v>
      </c>
      <c r="F136" s="483">
        <f t="shared" si="57"/>
        <v>364563</v>
      </c>
      <c r="G136" s="483">
        <f t="shared" si="58"/>
        <v>426259</v>
      </c>
      <c r="H136" s="484">
        <f t="shared" si="55"/>
        <v>172082.30940836633</v>
      </c>
      <c r="I136" s="540">
        <f t="shared" si="56"/>
        <v>172082.30940836633</v>
      </c>
      <c r="J136" s="476">
        <f t="shared" si="59"/>
        <v>0</v>
      </c>
      <c r="K136" s="476"/>
      <c r="L136" s="485"/>
      <c r="M136" s="476">
        <f t="shared" si="60"/>
        <v>0</v>
      </c>
      <c r="N136" s="485"/>
      <c r="O136" s="476">
        <f t="shared" si="61"/>
        <v>0</v>
      </c>
      <c r="P136" s="476">
        <f t="shared" si="62"/>
        <v>0</v>
      </c>
    </row>
    <row r="137" spans="2:16" ht="12.5">
      <c r="B137" s="160" t="str">
        <f t="shared" si="38"/>
        <v/>
      </c>
      <c r="C137" s="470">
        <f>IF(D93="","-",+C136+1)</f>
        <v>2047</v>
      </c>
      <c r="D137" s="345">
        <f>IF(F136+SUM(E$99:E136)=D$92,F136,D$92-SUM(E$99:E136))</f>
        <v>364563</v>
      </c>
      <c r="E137" s="484">
        <f>IF(+J96&lt;F136,J96,D137)</f>
        <v>123392</v>
      </c>
      <c r="F137" s="483">
        <f t="shared" si="57"/>
        <v>241171</v>
      </c>
      <c r="G137" s="483">
        <f t="shared" si="58"/>
        <v>302867</v>
      </c>
      <c r="H137" s="484">
        <f t="shared" si="55"/>
        <v>157987.6048777473</v>
      </c>
      <c r="I137" s="540">
        <f t="shared" si="56"/>
        <v>157987.6048777473</v>
      </c>
      <c r="J137" s="476">
        <f t="shared" si="59"/>
        <v>0</v>
      </c>
      <c r="K137" s="476"/>
      <c r="L137" s="485"/>
      <c r="M137" s="476">
        <f t="shared" si="60"/>
        <v>0</v>
      </c>
      <c r="N137" s="485"/>
      <c r="O137" s="476">
        <f t="shared" si="61"/>
        <v>0</v>
      </c>
      <c r="P137" s="476">
        <f t="shared" si="62"/>
        <v>0</v>
      </c>
    </row>
    <row r="138" spans="2:16" ht="12.5">
      <c r="B138" s="160" t="str">
        <f t="shared" si="38"/>
        <v/>
      </c>
      <c r="C138" s="470">
        <f>IF(D93="","-",+C137+1)</f>
        <v>2048</v>
      </c>
      <c r="D138" s="345">
        <f>IF(F137+SUM(E$99:E137)=D$92,F137,D$92-SUM(E$99:E137))</f>
        <v>241171</v>
      </c>
      <c r="E138" s="484">
        <f>IF(+J96&lt;F137,J96,D138)</f>
        <v>123392</v>
      </c>
      <c r="F138" s="483">
        <f t="shared" si="57"/>
        <v>117779</v>
      </c>
      <c r="G138" s="483">
        <f t="shared" si="58"/>
        <v>179475</v>
      </c>
      <c r="H138" s="484">
        <f t="shared" si="55"/>
        <v>143892.90034712828</v>
      </c>
      <c r="I138" s="540">
        <f t="shared" si="56"/>
        <v>143892.90034712828</v>
      </c>
      <c r="J138" s="476">
        <f t="shared" si="59"/>
        <v>0</v>
      </c>
      <c r="K138" s="476"/>
      <c r="L138" s="485"/>
      <c r="M138" s="476">
        <f t="shared" si="60"/>
        <v>0</v>
      </c>
      <c r="N138" s="485"/>
      <c r="O138" s="476">
        <f t="shared" si="61"/>
        <v>0</v>
      </c>
      <c r="P138" s="476">
        <f t="shared" si="62"/>
        <v>0</v>
      </c>
    </row>
    <row r="139" spans="2:16" ht="12.5">
      <c r="B139" s="160" t="str">
        <f t="shared" si="38"/>
        <v/>
      </c>
      <c r="C139" s="470">
        <f>IF(D93="","-",+C138+1)</f>
        <v>2049</v>
      </c>
      <c r="D139" s="345">
        <f>IF(F138+SUM(E$99:E138)=D$92,F138,D$92-SUM(E$99:E138))</f>
        <v>117779</v>
      </c>
      <c r="E139" s="484">
        <f>IF(+J96&lt;F138,J96,D139)</f>
        <v>117779</v>
      </c>
      <c r="F139" s="483">
        <f t="shared" si="57"/>
        <v>0</v>
      </c>
      <c r="G139" s="483">
        <f t="shared" si="58"/>
        <v>58889.5</v>
      </c>
      <c r="H139" s="484">
        <f t="shared" si="55"/>
        <v>124505.77404090937</v>
      </c>
      <c r="I139" s="540">
        <f t="shared" si="56"/>
        <v>124505.77404090937</v>
      </c>
      <c r="J139" s="476">
        <f t="shared" si="59"/>
        <v>0</v>
      </c>
      <c r="K139" s="476"/>
      <c r="L139" s="485"/>
      <c r="M139" s="476">
        <f t="shared" si="60"/>
        <v>0</v>
      </c>
      <c r="N139" s="485"/>
      <c r="O139" s="476">
        <f t="shared" si="61"/>
        <v>0</v>
      </c>
      <c r="P139" s="476">
        <f t="shared" si="62"/>
        <v>0</v>
      </c>
    </row>
    <row r="140" spans="2:16" ht="12.5">
      <c r="B140" s="160" t="str">
        <f t="shared" si="38"/>
        <v/>
      </c>
      <c r="C140" s="470">
        <f>IF(D93="","-",+C139+1)</f>
        <v>2050</v>
      </c>
      <c r="D140" s="345">
        <f>IF(F139+SUM(E$99:E139)=D$92,F139,D$92-SUM(E$99:E139))</f>
        <v>0</v>
      </c>
      <c r="E140" s="484">
        <f>IF(+J96&lt;F139,J96,D140)</f>
        <v>0</v>
      </c>
      <c r="F140" s="483">
        <f t="shared" si="57"/>
        <v>0</v>
      </c>
      <c r="G140" s="483">
        <f t="shared" si="58"/>
        <v>0</v>
      </c>
      <c r="H140" s="484">
        <f t="shared" si="55"/>
        <v>0</v>
      </c>
      <c r="I140" s="540">
        <f t="shared" si="56"/>
        <v>0</v>
      </c>
      <c r="J140" s="476">
        <f t="shared" si="59"/>
        <v>0</v>
      </c>
      <c r="K140" s="476"/>
      <c r="L140" s="485"/>
      <c r="M140" s="476">
        <f t="shared" si="60"/>
        <v>0</v>
      </c>
      <c r="N140" s="485"/>
      <c r="O140" s="476">
        <f t="shared" si="61"/>
        <v>0</v>
      </c>
      <c r="P140" s="476">
        <f t="shared" si="62"/>
        <v>0</v>
      </c>
    </row>
    <row r="141" spans="2:16" ht="12.5">
      <c r="B141" s="160" t="str">
        <f t="shared" si="38"/>
        <v/>
      </c>
      <c r="C141" s="470">
        <f>IF(D93="","-",+C140+1)</f>
        <v>2051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57"/>
        <v>0</v>
      </c>
      <c r="G141" s="483">
        <f t="shared" si="58"/>
        <v>0</v>
      </c>
      <c r="H141" s="484">
        <f t="shared" si="55"/>
        <v>0</v>
      </c>
      <c r="I141" s="540">
        <f t="shared" si="56"/>
        <v>0</v>
      </c>
      <c r="J141" s="476">
        <f t="shared" si="59"/>
        <v>0</v>
      </c>
      <c r="K141" s="476"/>
      <c r="L141" s="485"/>
      <c r="M141" s="476">
        <f t="shared" si="60"/>
        <v>0</v>
      </c>
      <c r="N141" s="485"/>
      <c r="O141" s="476">
        <f t="shared" si="61"/>
        <v>0</v>
      </c>
      <c r="P141" s="476">
        <f t="shared" si="62"/>
        <v>0</v>
      </c>
    </row>
    <row r="142" spans="2:16" ht="12.5">
      <c r="B142" s="160" t="str">
        <f t="shared" si="38"/>
        <v/>
      </c>
      <c r="C142" s="470">
        <f>IF(D93="","-",+C141+1)</f>
        <v>2052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57"/>
        <v>0</v>
      </c>
      <c r="G142" s="483">
        <f t="shared" si="58"/>
        <v>0</v>
      </c>
      <c r="H142" s="484">
        <f t="shared" si="55"/>
        <v>0</v>
      </c>
      <c r="I142" s="540">
        <f t="shared" si="56"/>
        <v>0</v>
      </c>
      <c r="J142" s="476">
        <f t="shared" si="59"/>
        <v>0</v>
      </c>
      <c r="K142" s="476"/>
      <c r="L142" s="485"/>
      <c r="M142" s="476">
        <f t="shared" si="60"/>
        <v>0</v>
      </c>
      <c r="N142" s="485"/>
      <c r="O142" s="476">
        <f t="shared" si="61"/>
        <v>0</v>
      </c>
      <c r="P142" s="476">
        <f t="shared" si="62"/>
        <v>0</v>
      </c>
    </row>
    <row r="143" spans="2:16" ht="12.5">
      <c r="B143" s="160" t="str">
        <f t="shared" si="38"/>
        <v/>
      </c>
      <c r="C143" s="470">
        <f>IF(D93="","-",+C142+1)</f>
        <v>2053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7"/>
        <v>0</v>
      </c>
      <c r="G143" s="483">
        <f t="shared" si="58"/>
        <v>0</v>
      </c>
      <c r="H143" s="484">
        <f t="shared" si="55"/>
        <v>0</v>
      </c>
      <c r="I143" s="540">
        <f t="shared" si="56"/>
        <v>0</v>
      </c>
      <c r="J143" s="476">
        <f t="shared" si="59"/>
        <v>0</v>
      </c>
      <c r="K143" s="476"/>
      <c r="L143" s="485"/>
      <c r="M143" s="476">
        <f t="shared" si="60"/>
        <v>0</v>
      </c>
      <c r="N143" s="485"/>
      <c r="O143" s="476">
        <f t="shared" si="61"/>
        <v>0</v>
      </c>
      <c r="P143" s="476">
        <f t="shared" si="62"/>
        <v>0</v>
      </c>
    </row>
    <row r="144" spans="2:16" ht="12.5">
      <c r="B144" s="160" t="str">
        <f t="shared" si="38"/>
        <v/>
      </c>
      <c r="C144" s="470">
        <f>IF(D93="","-",+C143+1)</f>
        <v>2054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7"/>
        <v>0</v>
      </c>
      <c r="G144" s="483">
        <f t="shared" si="58"/>
        <v>0</v>
      </c>
      <c r="H144" s="484">
        <f t="shared" si="55"/>
        <v>0</v>
      </c>
      <c r="I144" s="540">
        <f t="shared" si="56"/>
        <v>0</v>
      </c>
      <c r="J144" s="476">
        <f t="shared" si="59"/>
        <v>0</v>
      </c>
      <c r="K144" s="476"/>
      <c r="L144" s="485"/>
      <c r="M144" s="476">
        <f t="shared" si="60"/>
        <v>0</v>
      </c>
      <c r="N144" s="485"/>
      <c r="O144" s="476">
        <f t="shared" si="61"/>
        <v>0</v>
      </c>
      <c r="P144" s="476">
        <f t="shared" si="62"/>
        <v>0</v>
      </c>
    </row>
    <row r="145" spans="2:16" ht="12.5">
      <c r="B145" s="160" t="str">
        <f t="shared" si="38"/>
        <v/>
      </c>
      <c r="C145" s="470">
        <f>IF(D93="","-",+C144+1)</f>
        <v>2055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7"/>
        <v>0</v>
      </c>
      <c r="G145" s="483">
        <f t="shared" si="58"/>
        <v>0</v>
      </c>
      <c r="H145" s="484">
        <f t="shared" si="55"/>
        <v>0</v>
      </c>
      <c r="I145" s="540">
        <f t="shared" si="56"/>
        <v>0</v>
      </c>
      <c r="J145" s="476">
        <f t="shared" si="59"/>
        <v>0</v>
      </c>
      <c r="K145" s="476"/>
      <c r="L145" s="485"/>
      <c r="M145" s="476">
        <f t="shared" si="60"/>
        <v>0</v>
      </c>
      <c r="N145" s="485"/>
      <c r="O145" s="476">
        <f t="shared" si="61"/>
        <v>0</v>
      </c>
      <c r="P145" s="476">
        <f t="shared" si="62"/>
        <v>0</v>
      </c>
    </row>
    <row r="146" spans="2:16" ht="12.5">
      <c r="B146" s="160" t="str">
        <f t="shared" si="38"/>
        <v/>
      </c>
      <c r="C146" s="470">
        <f>IF(D93="","-",+C145+1)</f>
        <v>2056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7"/>
        <v>0</v>
      </c>
      <c r="G146" s="483">
        <f t="shared" si="58"/>
        <v>0</v>
      </c>
      <c r="H146" s="484">
        <f t="shared" si="55"/>
        <v>0</v>
      </c>
      <c r="I146" s="540">
        <f t="shared" si="56"/>
        <v>0</v>
      </c>
      <c r="J146" s="476">
        <f t="shared" si="59"/>
        <v>0</v>
      </c>
      <c r="K146" s="476"/>
      <c r="L146" s="485"/>
      <c r="M146" s="476">
        <f t="shared" si="60"/>
        <v>0</v>
      </c>
      <c r="N146" s="485"/>
      <c r="O146" s="476">
        <f t="shared" si="61"/>
        <v>0</v>
      </c>
      <c r="P146" s="476">
        <f t="shared" si="62"/>
        <v>0</v>
      </c>
    </row>
    <row r="147" spans="2:16" ht="12.5">
      <c r="B147" s="160" t="str">
        <f t="shared" si="38"/>
        <v/>
      </c>
      <c r="C147" s="470">
        <f>IF(D93="","-",+C146+1)</f>
        <v>2057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7"/>
        <v>0</v>
      </c>
      <c r="G147" s="483">
        <f t="shared" si="58"/>
        <v>0</v>
      </c>
      <c r="H147" s="484">
        <f t="shared" si="55"/>
        <v>0</v>
      </c>
      <c r="I147" s="540">
        <f t="shared" si="56"/>
        <v>0</v>
      </c>
      <c r="J147" s="476">
        <f t="shared" si="59"/>
        <v>0</v>
      </c>
      <c r="K147" s="476"/>
      <c r="L147" s="485"/>
      <c r="M147" s="476">
        <f t="shared" si="60"/>
        <v>0</v>
      </c>
      <c r="N147" s="485"/>
      <c r="O147" s="476">
        <f t="shared" si="61"/>
        <v>0</v>
      </c>
      <c r="P147" s="476">
        <f t="shared" si="62"/>
        <v>0</v>
      </c>
    </row>
    <row r="148" spans="2:16" ht="12.5">
      <c r="B148" s="160" t="str">
        <f t="shared" si="38"/>
        <v/>
      </c>
      <c r="C148" s="470">
        <f>IF(D93="","-",+C147+1)</f>
        <v>2058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7"/>
        <v>0</v>
      </c>
      <c r="G148" s="483">
        <f t="shared" si="58"/>
        <v>0</v>
      </c>
      <c r="H148" s="484">
        <f t="shared" si="55"/>
        <v>0</v>
      </c>
      <c r="I148" s="540">
        <f t="shared" si="56"/>
        <v>0</v>
      </c>
      <c r="J148" s="476">
        <f t="shared" si="59"/>
        <v>0</v>
      </c>
      <c r="K148" s="476"/>
      <c r="L148" s="485"/>
      <c r="M148" s="476">
        <f t="shared" si="60"/>
        <v>0</v>
      </c>
      <c r="N148" s="485"/>
      <c r="O148" s="476">
        <f t="shared" si="61"/>
        <v>0</v>
      </c>
      <c r="P148" s="476">
        <f t="shared" si="62"/>
        <v>0</v>
      </c>
    </row>
    <row r="149" spans="2:16" ht="12.5">
      <c r="B149" s="160" t="str">
        <f t="shared" si="38"/>
        <v/>
      </c>
      <c r="C149" s="470">
        <f>IF(D93="","-",+C148+1)</f>
        <v>2059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7"/>
        <v>0</v>
      </c>
      <c r="G149" s="483">
        <f t="shared" si="58"/>
        <v>0</v>
      </c>
      <c r="H149" s="484">
        <f t="shared" si="55"/>
        <v>0</v>
      </c>
      <c r="I149" s="540">
        <f t="shared" si="56"/>
        <v>0</v>
      </c>
      <c r="J149" s="476">
        <f t="shared" si="59"/>
        <v>0</v>
      </c>
      <c r="K149" s="476"/>
      <c r="L149" s="485"/>
      <c r="M149" s="476">
        <f t="shared" si="60"/>
        <v>0</v>
      </c>
      <c r="N149" s="485"/>
      <c r="O149" s="476">
        <f t="shared" si="61"/>
        <v>0</v>
      </c>
      <c r="P149" s="476">
        <f t="shared" si="62"/>
        <v>0</v>
      </c>
    </row>
    <row r="150" spans="2:16" ht="12.5">
      <c r="B150" s="160" t="str">
        <f t="shared" si="38"/>
        <v/>
      </c>
      <c r="C150" s="470">
        <f>IF(D93="","-",+C149+1)</f>
        <v>2060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7"/>
        <v>0</v>
      </c>
      <c r="G150" s="483">
        <f t="shared" si="58"/>
        <v>0</v>
      </c>
      <c r="H150" s="484">
        <f t="shared" si="55"/>
        <v>0</v>
      </c>
      <c r="I150" s="540">
        <f t="shared" si="56"/>
        <v>0</v>
      </c>
      <c r="J150" s="476">
        <f t="shared" si="59"/>
        <v>0</v>
      </c>
      <c r="K150" s="476"/>
      <c r="L150" s="485"/>
      <c r="M150" s="476">
        <f t="shared" si="60"/>
        <v>0</v>
      </c>
      <c r="N150" s="485"/>
      <c r="O150" s="476">
        <f t="shared" si="61"/>
        <v>0</v>
      </c>
      <c r="P150" s="476">
        <f t="shared" si="62"/>
        <v>0</v>
      </c>
    </row>
    <row r="151" spans="2:16" ht="12.5">
      <c r="B151" s="160" t="str">
        <f t="shared" si="38"/>
        <v/>
      </c>
      <c r="C151" s="470">
        <f>IF(D93="","-",+C150+1)</f>
        <v>2061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7"/>
        <v>0</v>
      </c>
      <c r="G151" s="483">
        <f t="shared" si="58"/>
        <v>0</v>
      </c>
      <c r="H151" s="484">
        <f t="shared" si="55"/>
        <v>0</v>
      </c>
      <c r="I151" s="540">
        <f t="shared" si="56"/>
        <v>0</v>
      </c>
      <c r="J151" s="476">
        <f t="shared" si="59"/>
        <v>0</v>
      </c>
      <c r="K151" s="476"/>
      <c r="L151" s="485"/>
      <c r="M151" s="476">
        <f t="shared" si="60"/>
        <v>0</v>
      </c>
      <c r="N151" s="485"/>
      <c r="O151" s="476">
        <f t="shared" si="61"/>
        <v>0</v>
      </c>
      <c r="P151" s="476">
        <f t="shared" si="62"/>
        <v>0</v>
      </c>
    </row>
    <row r="152" spans="2:16" ht="12.5">
      <c r="B152" s="160" t="str">
        <f t="shared" si="38"/>
        <v/>
      </c>
      <c r="C152" s="470">
        <f>IF(D93="","-",+C151+1)</f>
        <v>2062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7"/>
        <v>0</v>
      </c>
      <c r="G152" s="483">
        <f t="shared" si="58"/>
        <v>0</v>
      </c>
      <c r="H152" s="484">
        <f t="shared" si="55"/>
        <v>0</v>
      </c>
      <c r="I152" s="540">
        <f t="shared" si="56"/>
        <v>0</v>
      </c>
      <c r="J152" s="476">
        <f t="shared" si="59"/>
        <v>0</v>
      </c>
      <c r="K152" s="476"/>
      <c r="L152" s="485"/>
      <c r="M152" s="476">
        <f t="shared" si="60"/>
        <v>0</v>
      </c>
      <c r="N152" s="485"/>
      <c r="O152" s="476">
        <f t="shared" si="61"/>
        <v>0</v>
      </c>
      <c r="P152" s="476">
        <f t="shared" si="62"/>
        <v>0</v>
      </c>
    </row>
    <row r="153" spans="2:16" ht="12.5">
      <c r="B153" s="160" t="str">
        <f t="shared" si="38"/>
        <v/>
      </c>
      <c r="C153" s="470">
        <f>IF(D93="","-",+C152+1)</f>
        <v>2063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7"/>
        <v>0</v>
      </c>
      <c r="G153" s="483">
        <f t="shared" si="58"/>
        <v>0</v>
      </c>
      <c r="H153" s="484">
        <f t="shared" si="55"/>
        <v>0</v>
      </c>
      <c r="I153" s="540">
        <f t="shared" si="56"/>
        <v>0</v>
      </c>
      <c r="J153" s="476">
        <f t="shared" si="59"/>
        <v>0</v>
      </c>
      <c r="K153" s="476"/>
      <c r="L153" s="485"/>
      <c r="M153" s="476">
        <f t="shared" si="60"/>
        <v>0</v>
      </c>
      <c r="N153" s="485"/>
      <c r="O153" s="476">
        <f t="shared" si="61"/>
        <v>0</v>
      </c>
      <c r="P153" s="476">
        <f t="shared" si="62"/>
        <v>0</v>
      </c>
    </row>
    <row r="154" spans="2:16" ht="13" thickBot="1">
      <c r="B154" s="160" t="str">
        <f t="shared" si="38"/>
        <v/>
      </c>
      <c r="C154" s="487">
        <f>IF(D93="","-",+C153+1)</f>
        <v>2064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7"/>
        <v>0</v>
      </c>
      <c r="G154" s="488">
        <f t="shared" si="58"/>
        <v>0</v>
      </c>
      <c r="H154" s="488">
        <f t="shared" si="55"/>
        <v>0</v>
      </c>
      <c r="I154" s="543">
        <f t="shared" si="56"/>
        <v>0</v>
      </c>
      <c r="J154" s="493">
        <f t="shared" si="59"/>
        <v>0</v>
      </c>
      <c r="K154" s="476"/>
      <c r="L154" s="492"/>
      <c r="M154" s="493">
        <f t="shared" si="60"/>
        <v>0</v>
      </c>
      <c r="N154" s="492"/>
      <c r="O154" s="493">
        <f t="shared" si="61"/>
        <v>0</v>
      </c>
      <c r="P154" s="493">
        <f t="shared" si="62"/>
        <v>0</v>
      </c>
    </row>
    <row r="155" spans="2:16" ht="12.5">
      <c r="C155" s="345" t="s">
        <v>77</v>
      </c>
      <c r="D155" s="346"/>
      <c r="E155" s="346">
        <f>SUM(E99:E154)</f>
        <v>4688896</v>
      </c>
      <c r="F155" s="346"/>
      <c r="G155" s="346"/>
      <c r="H155" s="346">
        <f>SUM(H99:H154)</f>
        <v>16925685.133410573</v>
      </c>
      <c r="I155" s="346">
        <f>SUM(I99:I154)</f>
        <v>16925685.133410573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2.5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64" priority="1" stopIfTrue="1" operator="equal">
      <formula>$I$10</formula>
    </cfRule>
  </conditionalFormatting>
  <conditionalFormatting sqref="C99:C154">
    <cfRule type="cellIs" dxfId="6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P162"/>
  <sheetViews>
    <sheetView zoomScaleNormal="100" zoomScaleSheetLayoutView="75" workbookViewId="0">
      <selection activeCell="D1" sqref="D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3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1239732.4037197519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1239732.4037197519</v>
      </c>
      <c r="O6" s="231"/>
      <c r="P6" s="231"/>
    </row>
    <row r="7" spans="1:16" ht="13.5" thickBot="1">
      <c r="C7" s="429" t="s">
        <v>46</v>
      </c>
      <c r="D7" s="430" t="s">
        <v>208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81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11456065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2009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10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293745.25641025644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C17" s="470">
        <f>IF(D11= "","-",D11)</f>
        <v>2009</v>
      </c>
      <c r="D17" s="471">
        <v>9403820</v>
      </c>
      <c r="E17" s="472">
        <v>29572</v>
      </c>
      <c r="F17" s="471">
        <v>9374248</v>
      </c>
      <c r="G17" s="472">
        <v>388620</v>
      </c>
      <c r="H17" s="472">
        <v>388620</v>
      </c>
      <c r="I17" s="473">
        <f t="shared" ref="I17:I48" si="0">H17-G17</f>
        <v>0</v>
      </c>
      <c r="J17" s="473"/>
      <c r="K17" s="474">
        <v>388620</v>
      </c>
      <c r="L17" s="475">
        <f t="shared" ref="L17:L48" si="1">IF(K17&lt;&gt;0,+G17-K17,0)</f>
        <v>0</v>
      </c>
      <c r="M17" s="474">
        <v>388620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2010</v>
      </c>
      <c r="D18" s="477">
        <v>12236959</v>
      </c>
      <c r="E18" s="478">
        <v>219045</v>
      </c>
      <c r="F18" s="477">
        <v>12017913</v>
      </c>
      <c r="G18" s="478">
        <v>1953188</v>
      </c>
      <c r="H18" s="479">
        <v>1953188</v>
      </c>
      <c r="I18" s="473">
        <f t="shared" si="0"/>
        <v>0</v>
      </c>
      <c r="J18" s="473"/>
      <c r="K18" s="474">
        <f t="shared" ref="K18:K23" si="4">G18</f>
        <v>1953188</v>
      </c>
      <c r="L18" s="548">
        <f t="shared" si="1"/>
        <v>0</v>
      </c>
      <c r="M18" s="474">
        <f t="shared" ref="M18:M23" si="5">H18</f>
        <v>1953188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2011</v>
      </c>
      <c r="D19" s="477">
        <v>11983531</v>
      </c>
      <c r="E19" s="478">
        <v>239846.03921568627</v>
      </c>
      <c r="F19" s="477">
        <v>11743684.960784314</v>
      </c>
      <c r="G19" s="478">
        <v>2078241.729976739</v>
      </c>
      <c r="H19" s="479">
        <v>2078241.729976739</v>
      </c>
      <c r="I19" s="473">
        <f t="shared" si="0"/>
        <v>0</v>
      </c>
      <c r="J19" s="473"/>
      <c r="K19" s="474">
        <f t="shared" si="4"/>
        <v>2078241.729976739</v>
      </c>
      <c r="L19" s="548">
        <f t="shared" si="1"/>
        <v>0</v>
      </c>
      <c r="M19" s="474">
        <f t="shared" si="5"/>
        <v>2078241.729976739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6">IF(D20=F19,"","IU")</f>
        <v/>
      </c>
      <c r="C20" s="470">
        <f>IF(D11="","-",+C19+1)</f>
        <v>2012</v>
      </c>
      <c r="D20" s="477">
        <v>11743684.960784314</v>
      </c>
      <c r="E20" s="478">
        <v>235233.61538461538</v>
      </c>
      <c r="F20" s="477">
        <v>11508451.345399698</v>
      </c>
      <c r="G20" s="478">
        <v>1837287.5395832672</v>
      </c>
      <c r="H20" s="479">
        <v>1837287.5395832672</v>
      </c>
      <c r="I20" s="473">
        <f t="shared" si="0"/>
        <v>0</v>
      </c>
      <c r="J20" s="473"/>
      <c r="K20" s="474">
        <f t="shared" si="4"/>
        <v>1837287.5395832672</v>
      </c>
      <c r="L20" s="548">
        <f t="shared" si="1"/>
        <v>0</v>
      </c>
      <c r="M20" s="474">
        <f t="shared" si="5"/>
        <v>1837287.5395832672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6"/>
        <v/>
      </c>
      <c r="C21" s="470">
        <f>IF(D12="","-",+C20+1)</f>
        <v>2013</v>
      </c>
      <c r="D21" s="477">
        <v>11508451.345399698</v>
      </c>
      <c r="E21" s="478">
        <v>235233.61538461538</v>
      </c>
      <c r="F21" s="477">
        <v>11273217.730015082</v>
      </c>
      <c r="G21" s="478">
        <v>1845125.3182548014</v>
      </c>
      <c r="H21" s="479">
        <v>1845125.3182548014</v>
      </c>
      <c r="I21" s="473">
        <v>0</v>
      </c>
      <c r="J21" s="473"/>
      <c r="K21" s="474">
        <f t="shared" si="4"/>
        <v>1845125.3182548014</v>
      </c>
      <c r="L21" s="548">
        <f t="shared" ref="L21:L26" si="7">IF(K21&lt;&gt;0,+G21-K21,0)</f>
        <v>0</v>
      </c>
      <c r="M21" s="474">
        <f t="shared" si="5"/>
        <v>1845125.3182548014</v>
      </c>
      <c r="N21" s="476">
        <f t="shared" ref="N21:N26" si="8">IF(M21&lt;&gt;0,+H21-M21,0)</f>
        <v>0</v>
      </c>
      <c r="O21" s="476">
        <f t="shared" ref="O21:O26" si="9">+N21-L21</f>
        <v>0</v>
      </c>
      <c r="P21" s="241"/>
    </row>
    <row r="22" spans="2:16" ht="12.5">
      <c r="B22" s="160" t="str">
        <f t="shared" si="6"/>
        <v/>
      </c>
      <c r="C22" s="470">
        <f>IF(D11="","-",+C21+1)</f>
        <v>2014</v>
      </c>
      <c r="D22" s="477">
        <v>11273217.730015082</v>
      </c>
      <c r="E22" s="478">
        <v>235233.61538461538</v>
      </c>
      <c r="F22" s="477">
        <v>11037984.114630466</v>
      </c>
      <c r="G22" s="478">
        <v>1754708.9063952654</v>
      </c>
      <c r="H22" s="479">
        <v>1754708.9063952654</v>
      </c>
      <c r="I22" s="473">
        <v>0</v>
      </c>
      <c r="J22" s="473"/>
      <c r="K22" s="474">
        <f t="shared" si="4"/>
        <v>1754708.9063952654</v>
      </c>
      <c r="L22" s="548">
        <f t="shared" si="7"/>
        <v>0</v>
      </c>
      <c r="M22" s="474">
        <f t="shared" si="5"/>
        <v>1754708.9063952654</v>
      </c>
      <c r="N22" s="476">
        <f t="shared" si="8"/>
        <v>0</v>
      </c>
      <c r="O22" s="476">
        <f t="shared" si="9"/>
        <v>0</v>
      </c>
      <c r="P22" s="241"/>
    </row>
    <row r="23" spans="2:16" ht="12.5">
      <c r="B23" s="160" t="str">
        <f t="shared" si="6"/>
        <v>IU</v>
      </c>
      <c r="C23" s="470">
        <f>IF(D11="","-",+C22+1)</f>
        <v>2015</v>
      </c>
      <c r="D23" s="477">
        <v>10261901.114630468</v>
      </c>
      <c r="E23" s="478">
        <v>220308.94230769231</v>
      </c>
      <c r="F23" s="477">
        <v>10041592.172322776</v>
      </c>
      <c r="G23" s="478">
        <v>1604759.8916783908</v>
      </c>
      <c r="H23" s="479">
        <v>1604759.8916783908</v>
      </c>
      <c r="I23" s="473">
        <v>0</v>
      </c>
      <c r="J23" s="473"/>
      <c r="K23" s="474">
        <f t="shared" si="4"/>
        <v>1604759.8916783908</v>
      </c>
      <c r="L23" s="548">
        <f t="shared" si="7"/>
        <v>0</v>
      </c>
      <c r="M23" s="474">
        <f t="shared" si="5"/>
        <v>1604759.8916783908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2016</v>
      </c>
      <c r="D24" s="477">
        <v>10041592.172322776</v>
      </c>
      <c r="E24" s="478">
        <v>220308.94230769231</v>
      </c>
      <c r="F24" s="477">
        <v>9821283.2300150841</v>
      </c>
      <c r="G24" s="478">
        <v>1508464.8564289983</v>
      </c>
      <c r="H24" s="479">
        <v>1508464.8564289983</v>
      </c>
      <c r="I24" s="473">
        <f t="shared" si="0"/>
        <v>0</v>
      </c>
      <c r="J24" s="473"/>
      <c r="K24" s="474">
        <f t="shared" ref="K24:K29" si="10">G24</f>
        <v>1508464.8564289983</v>
      </c>
      <c r="L24" s="548">
        <f t="shared" si="7"/>
        <v>0</v>
      </c>
      <c r="M24" s="474">
        <f t="shared" ref="M24:M29" si="11">H24</f>
        <v>1508464.8564289983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6"/>
        <v/>
      </c>
      <c r="C25" s="470">
        <f>IF(D11="","-",+C24+1)</f>
        <v>2017</v>
      </c>
      <c r="D25" s="477">
        <v>9821283.2300150841</v>
      </c>
      <c r="E25" s="478">
        <v>249044.89130434784</v>
      </c>
      <c r="F25" s="477">
        <v>9572238.3387107365</v>
      </c>
      <c r="G25" s="478">
        <v>1467214.2093174371</v>
      </c>
      <c r="H25" s="479">
        <v>1467214.2093174371</v>
      </c>
      <c r="I25" s="473">
        <f t="shared" si="0"/>
        <v>0</v>
      </c>
      <c r="J25" s="473"/>
      <c r="K25" s="474">
        <f t="shared" si="10"/>
        <v>1467214.2093174371</v>
      </c>
      <c r="L25" s="548">
        <f t="shared" si="7"/>
        <v>0</v>
      </c>
      <c r="M25" s="474">
        <f t="shared" si="11"/>
        <v>1467214.2093174371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2018</v>
      </c>
      <c r="D26" s="477">
        <v>9572238.3387107365</v>
      </c>
      <c r="E26" s="478">
        <v>254579.22222222222</v>
      </c>
      <c r="F26" s="477">
        <v>9317659.1164885145</v>
      </c>
      <c r="G26" s="478">
        <v>1385696.2768787597</v>
      </c>
      <c r="H26" s="479">
        <v>1385696.2768787597</v>
      </c>
      <c r="I26" s="473">
        <f t="shared" si="0"/>
        <v>0</v>
      </c>
      <c r="J26" s="473"/>
      <c r="K26" s="474">
        <f t="shared" si="10"/>
        <v>1385696.2768787597</v>
      </c>
      <c r="L26" s="548">
        <f t="shared" si="7"/>
        <v>0</v>
      </c>
      <c r="M26" s="474">
        <f t="shared" si="11"/>
        <v>1385696.2768787597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6"/>
        <v/>
      </c>
      <c r="C27" s="470">
        <f>IF(D11="","-",+C26+1)</f>
        <v>2019</v>
      </c>
      <c r="D27" s="477">
        <v>9317659.1164885145</v>
      </c>
      <c r="E27" s="478">
        <v>286401.625</v>
      </c>
      <c r="F27" s="477">
        <v>9031257.4914885145</v>
      </c>
      <c r="G27" s="478">
        <v>1310790.7332032048</v>
      </c>
      <c r="H27" s="479">
        <v>1310790.7332032048</v>
      </c>
      <c r="I27" s="473">
        <f t="shared" si="0"/>
        <v>0</v>
      </c>
      <c r="J27" s="473"/>
      <c r="K27" s="474">
        <f t="shared" si="10"/>
        <v>1310790.7332032048</v>
      </c>
      <c r="L27" s="548">
        <f t="shared" ref="L27" si="12">IF(K27&lt;&gt;0,+G27-K27,0)</f>
        <v>0</v>
      </c>
      <c r="M27" s="474">
        <f t="shared" si="11"/>
        <v>1310790.7332032048</v>
      </c>
      <c r="N27" s="476">
        <f t="shared" ref="N27" si="13">IF(M27&lt;&gt;0,+H27-M27,0)</f>
        <v>0</v>
      </c>
      <c r="O27" s="476">
        <f t="shared" ref="O27" si="14">+N27-L27</f>
        <v>0</v>
      </c>
      <c r="P27" s="241"/>
    </row>
    <row r="28" spans="2:16" ht="12.5">
      <c r="B28" s="160" t="str">
        <f t="shared" si="6"/>
        <v>IU</v>
      </c>
      <c r="C28" s="470">
        <f>IF(D11="","-",+C27+1)</f>
        <v>2020</v>
      </c>
      <c r="D28" s="477">
        <v>9012688</v>
      </c>
      <c r="E28" s="478">
        <v>272763.45238095237</v>
      </c>
      <c r="F28" s="477">
        <v>8739924.5476190485</v>
      </c>
      <c r="G28" s="478">
        <v>1231446.9312681679</v>
      </c>
      <c r="H28" s="479">
        <v>1231446.9312681679</v>
      </c>
      <c r="I28" s="473">
        <f t="shared" si="0"/>
        <v>0</v>
      </c>
      <c r="J28" s="473"/>
      <c r="K28" s="474">
        <f t="shared" si="10"/>
        <v>1231446.9312681679</v>
      </c>
      <c r="L28" s="548">
        <f t="shared" ref="L28" si="15">IF(K28&lt;&gt;0,+G28-K28,0)</f>
        <v>0</v>
      </c>
      <c r="M28" s="474">
        <f t="shared" si="11"/>
        <v>1231446.9312681679</v>
      </c>
      <c r="N28" s="476">
        <f t="shared" si="2"/>
        <v>0</v>
      </c>
      <c r="O28" s="476">
        <f t="shared" si="3"/>
        <v>0</v>
      </c>
      <c r="P28" s="241"/>
    </row>
    <row r="29" spans="2:16" ht="12.5">
      <c r="B29" s="160" t="str">
        <f t="shared" si="6"/>
        <v>IU</v>
      </c>
      <c r="C29" s="470">
        <f>IF(D11="","-",+C28+1)</f>
        <v>2021</v>
      </c>
      <c r="D29" s="477">
        <v>8758494.0391075611</v>
      </c>
      <c r="E29" s="478">
        <v>266420.11627906974</v>
      </c>
      <c r="F29" s="477">
        <v>8492073.9228284918</v>
      </c>
      <c r="G29" s="478">
        <v>1182049.5546801805</v>
      </c>
      <c r="H29" s="479">
        <v>1182049.5546801805</v>
      </c>
      <c r="I29" s="473">
        <f t="shared" si="0"/>
        <v>0</v>
      </c>
      <c r="J29" s="473"/>
      <c r="K29" s="474">
        <f t="shared" si="10"/>
        <v>1182049.5546801805</v>
      </c>
      <c r="L29" s="548">
        <f t="shared" ref="L29" si="16">IF(K29&lt;&gt;0,+G29-K29,0)</f>
        <v>0</v>
      </c>
      <c r="M29" s="474">
        <f t="shared" si="11"/>
        <v>1182049.5546801805</v>
      </c>
      <c r="N29" s="476">
        <f t="shared" si="2"/>
        <v>0</v>
      </c>
      <c r="O29" s="476">
        <f t="shared" si="3"/>
        <v>0</v>
      </c>
      <c r="P29" s="241"/>
    </row>
    <row r="30" spans="2:16" ht="12.5">
      <c r="B30" s="160" t="str">
        <f t="shared" si="6"/>
        <v/>
      </c>
      <c r="C30" s="470">
        <f>IF(D11="","-",+C29+1)</f>
        <v>2022</v>
      </c>
      <c r="D30" s="477">
        <v>8492073.9228284918</v>
      </c>
      <c r="E30" s="478">
        <v>272763.45238095237</v>
      </c>
      <c r="F30" s="477">
        <v>8219310.4704475394</v>
      </c>
      <c r="G30" s="478">
        <v>1158897.5538764906</v>
      </c>
      <c r="H30" s="479">
        <v>1158897.5538764906</v>
      </c>
      <c r="I30" s="473">
        <f t="shared" si="0"/>
        <v>0</v>
      </c>
      <c r="J30" s="473"/>
      <c r="K30" s="474">
        <f t="shared" ref="K30" si="17">G30</f>
        <v>1158897.5538764906</v>
      </c>
      <c r="L30" s="548">
        <f t="shared" ref="L30" si="18">IF(K30&lt;&gt;0,+G30-K30,0)</f>
        <v>0</v>
      </c>
      <c r="M30" s="474">
        <f t="shared" ref="M30" si="19">H30</f>
        <v>1158897.5538764906</v>
      </c>
      <c r="N30" s="476">
        <f t="shared" si="2"/>
        <v>0</v>
      </c>
      <c r="O30" s="476">
        <f t="shared" si="3"/>
        <v>0</v>
      </c>
      <c r="P30" s="241"/>
    </row>
    <row r="31" spans="2:16" ht="12.5">
      <c r="B31" s="160" t="str">
        <f t="shared" si="6"/>
        <v/>
      </c>
      <c r="C31" s="470">
        <f>IF(D11="","-",+C30+1)</f>
        <v>2023</v>
      </c>
      <c r="D31" s="477">
        <v>8219310.4704475394</v>
      </c>
      <c r="E31" s="478">
        <v>293745.25641025644</v>
      </c>
      <c r="F31" s="477">
        <v>7925565.2140372833</v>
      </c>
      <c r="G31" s="478">
        <v>1239732.4037197519</v>
      </c>
      <c r="H31" s="479">
        <v>1239732.4037197519</v>
      </c>
      <c r="I31" s="473">
        <f t="shared" si="0"/>
        <v>0</v>
      </c>
      <c r="J31" s="473"/>
      <c r="K31" s="474">
        <f t="shared" ref="K31" si="20">G31</f>
        <v>1239732.4037197519</v>
      </c>
      <c r="L31" s="548">
        <f t="shared" ref="L31" si="21">IF(K31&lt;&gt;0,+G31-K31,0)</f>
        <v>0</v>
      </c>
      <c r="M31" s="474">
        <f t="shared" ref="M31" si="22">H31</f>
        <v>1239732.4037197519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6"/>
        <v/>
      </c>
      <c r="C32" s="470">
        <f>IF(D11="","-",+C31+1)</f>
        <v>2024</v>
      </c>
      <c r="D32" s="483">
        <f>IF(F31+SUM(E$17:E31)=D$10,F31,D$10-SUM(E$17:E31))</f>
        <v>7925565.2140372833</v>
      </c>
      <c r="E32" s="482">
        <f>IF(+I14&lt;F31,I14,D32)</f>
        <v>293745.25641025644</v>
      </c>
      <c r="F32" s="483">
        <f t="shared" ref="F32:F72" si="23">+D32-E32</f>
        <v>7631819.9576270273</v>
      </c>
      <c r="G32" s="484">
        <f t="shared" ref="G32:G72" si="24">(D32+F32)/2*I$12+E32</f>
        <v>1222201.8409369821</v>
      </c>
      <c r="H32" s="453">
        <f t="shared" ref="H32:H72" si="25">+(D32+F32)/2*I$13+E32</f>
        <v>1222201.8409369821</v>
      </c>
      <c r="I32" s="473">
        <f t="shared" si="0"/>
        <v>0</v>
      </c>
      <c r="J32" s="473"/>
      <c r="K32" s="485"/>
      <c r="L32" s="476">
        <f t="shared" si="1"/>
        <v>0</v>
      </c>
      <c r="M32" s="485"/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6"/>
        <v/>
      </c>
      <c r="C33" s="470">
        <f>IF(D11="","-",+C32+1)</f>
        <v>2025</v>
      </c>
      <c r="D33" s="483">
        <f>IF(F32+SUM(E$17:E32)=D$10,F32,D$10-SUM(E$17:E32))</f>
        <v>7631819.9576270273</v>
      </c>
      <c r="E33" s="482">
        <f>IF(+I14&lt;F32,I14,D33)</f>
        <v>293745.25641025644</v>
      </c>
      <c r="F33" s="483">
        <f t="shared" si="23"/>
        <v>7338074.7012167713</v>
      </c>
      <c r="G33" s="484">
        <f t="shared" si="24"/>
        <v>1187140.7153714425</v>
      </c>
      <c r="H33" s="453">
        <f t="shared" si="25"/>
        <v>1187140.7153714425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6"/>
        <v/>
      </c>
      <c r="C34" s="470">
        <f>IF(D11="","-",+C33+1)</f>
        <v>2026</v>
      </c>
      <c r="D34" s="483">
        <f>IF(F33+SUM(E$17:E33)=D$10,F33,D$10-SUM(E$17:E33))</f>
        <v>7338074.7012167713</v>
      </c>
      <c r="E34" s="482">
        <f>IF(+I14&lt;F33,I14,D34)</f>
        <v>293745.25641025644</v>
      </c>
      <c r="F34" s="483">
        <f t="shared" si="23"/>
        <v>7044329.4448065152</v>
      </c>
      <c r="G34" s="484">
        <f t="shared" si="24"/>
        <v>1152079.5898059027</v>
      </c>
      <c r="H34" s="453">
        <f t="shared" si="25"/>
        <v>1152079.5898059027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6"/>
        <v/>
      </c>
      <c r="C35" s="470">
        <f>IF(D11="","-",+C34+1)</f>
        <v>2027</v>
      </c>
      <c r="D35" s="483">
        <f>IF(F34+SUM(E$17:E34)=D$10,F34,D$10-SUM(E$17:E34))</f>
        <v>7044329.4448065152</v>
      </c>
      <c r="E35" s="482">
        <f>IF(+I14&lt;F34,I14,D35)</f>
        <v>293745.25641025644</v>
      </c>
      <c r="F35" s="483">
        <f t="shared" si="23"/>
        <v>6750584.1883962592</v>
      </c>
      <c r="G35" s="484">
        <f t="shared" si="24"/>
        <v>1117018.4642403631</v>
      </c>
      <c r="H35" s="453">
        <f t="shared" si="25"/>
        <v>1117018.4642403631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6"/>
        <v/>
      </c>
      <c r="C36" s="470">
        <f>IF(D11="","-",+C35+1)</f>
        <v>2028</v>
      </c>
      <c r="D36" s="483">
        <f>IF(F35+SUM(E$17:E35)=D$10,F35,D$10-SUM(E$17:E35))</f>
        <v>6750584.1883962592</v>
      </c>
      <c r="E36" s="482">
        <f>IF(+I14&lt;F35,I14,D36)</f>
        <v>293745.25641025644</v>
      </c>
      <c r="F36" s="483">
        <f t="shared" si="23"/>
        <v>6456838.9319860032</v>
      </c>
      <c r="G36" s="484">
        <f t="shared" si="24"/>
        <v>1081957.3386748235</v>
      </c>
      <c r="H36" s="453">
        <f t="shared" si="25"/>
        <v>1081957.3386748235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6"/>
        <v/>
      </c>
      <c r="C37" s="470">
        <f>IF(D11="","-",+C36+1)</f>
        <v>2029</v>
      </c>
      <c r="D37" s="483">
        <f>IF(F36+SUM(E$17:E36)=D$10,F36,D$10-SUM(E$17:E36))</f>
        <v>6456838.9319860032</v>
      </c>
      <c r="E37" s="482">
        <f>IF(+I14&lt;F36,I14,D37)</f>
        <v>293745.25641025644</v>
      </c>
      <c r="F37" s="483">
        <f t="shared" si="23"/>
        <v>6163093.6755757472</v>
      </c>
      <c r="G37" s="484">
        <f t="shared" si="24"/>
        <v>1046896.2131092837</v>
      </c>
      <c r="H37" s="453">
        <f t="shared" si="25"/>
        <v>1046896.2131092837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6"/>
        <v/>
      </c>
      <c r="C38" s="470">
        <f>IF(D11="","-",+C37+1)</f>
        <v>2030</v>
      </c>
      <c r="D38" s="483">
        <f>IF(F37+SUM(E$17:E37)=D$10,F37,D$10-SUM(E$17:E37))</f>
        <v>6163093.6755757472</v>
      </c>
      <c r="E38" s="482">
        <f>IF(+I14&lt;F37,I14,D38)</f>
        <v>293745.25641025644</v>
      </c>
      <c r="F38" s="483">
        <f t="shared" si="23"/>
        <v>5869348.4191654911</v>
      </c>
      <c r="G38" s="484">
        <f t="shared" si="24"/>
        <v>1011835.0875437441</v>
      </c>
      <c r="H38" s="453">
        <f t="shared" si="25"/>
        <v>1011835.0875437441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6"/>
        <v/>
      </c>
      <c r="C39" s="470">
        <f>IF(D11="","-",+C38+1)</f>
        <v>2031</v>
      </c>
      <c r="D39" s="483">
        <f>IF(F38+SUM(E$17:E38)=D$10,F38,D$10-SUM(E$17:E38))</f>
        <v>5869348.4191654911</v>
      </c>
      <c r="E39" s="482">
        <f>IF(+I14&lt;F38,I14,D39)</f>
        <v>293745.25641025644</v>
      </c>
      <c r="F39" s="483">
        <f t="shared" si="23"/>
        <v>5575603.1627552351</v>
      </c>
      <c r="G39" s="484">
        <f t="shared" si="24"/>
        <v>976773.96197820455</v>
      </c>
      <c r="H39" s="453">
        <f t="shared" si="25"/>
        <v>976773.96197820455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6"/>
        <v/>
      </c>
      <c r="C40" s="470">
        <f>IF(D11="","-",+C39+1)</f>
        <v>2032</v>
      </c>
      <c r="D40" s="483">
        <f>IF(F39+SUM(E$17:E39)=D$10,F39,D$10-SUM(E$17:E39))</f>
        <v>5575603.1627552351</v>
      </c>
      <c r="E40" s="482">
        <f>IF(+I14&lt;F39,I14,D40)</f>
        <v>293745.25641025644</v>
      </c>
      <c r="F40" s="483">
        <f t="shared" si="23"/>
        <v>5281857.9063449791</v>
      </c>
      <c r="G40" s="484">
        <f t="shared" si="24"/>
        <v>941712.83641266474</v>
      </c>
      <c r="H40" s="453">
        <f t="shared" si="25"/>
        <v>941712.83641266474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6"/>
        <v/>
      </c>
      <c r="C41" s="470">
        <f>IF(D11="","-",+C40+1)</f>
        <v>2033</v>
      </c>
      <c r="D41" s="483">
        <f>IF(F40+SUM(E$17:E40)=D$10,F40,D$10-SUM(E$17:E40))</f>
        <v>5281857.9063449791</v>
      </c>
      <c r="E41" s="482">
        <f>IF(+I14&lt;F40,I14,D41)</f>
        <v>293745.25641025644</v>
      </c>
      <c r="F41" s="483">
        <f t="shared" si="23"/>
        <v>4988112.649934723</v>
      </c>
      <c r="G41" s="484">
        <f t="shared" si="24"/>
        <v>906651.71084712516</v>
      </c>
      <c r="H41" s="453">
        <f t="shared" si="25"/>
        <v>906651.71084712516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6"/>
        <v/>
      </c>
      <c r="C42" s="470">
        <f>IF(D11="","-",+C41+1)</f>
        <v>2034</v>
      </c>
      <c r="D42" s="483">
        <f>IF(F41+SUM(E$17:E41)=D$10,F41,D$10-SUM(E$17:E41))</f>
        <v>4988112.649934723</v>
      </c>
      <c r="E42" s="482">
        <f>IF(+I14&lt;F41,I14,D42)</f>
        <v>293745.25641025644</v>
      </c>
      <c r="F42" s="483">
        <f t="shared" si="23"/>
        <v>4694367.393524467</v>
      </c>
      <c r="G42" s="484">
        <f t="shared" si="24"/>
        <v>871590.58528158558</v>
      </c>
      <c r="H42" s="453">
        <f t="shared" si="25"/>
        <v>871590.58528158558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6"/>
        <v/>
      </c>
      <c r="C43" s="470">
        <f>IF(D11="","-",+C42+1)</f>
        <v>2035</v>
      </c>
      <c r="D43" s="483">
        <f>IF(F42+SUM(E$17:E42)=D$10,F42,D$10-SUM(E$17:E42))</f>
        <v>4694367.393524467</v>
      </c>
      <c r="E43" s="482">
        <f>IF(+I14&lt;F42,I14,D43)</f>
        <v>293745.25641025644</v>
      </c>
      <c r="F43" s="483">
        <f t="shared" si="23"/>
        <v>4400622.137114211</v>
      </c>
      <c r="G43" s="484">
        <f t="shared" si="24"/>
        <v>836529.45971604576</v>
      </c>
      <c r="H43" s="453">
        <f t="shared" si="25"/>
        <v>836529.45971604576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6"/>
        <v/>
      </c>
      <c r="C44" s="470">
        <f>IF(D11="","-",+C43+1)</f>
        <v>2036</v>
      </c>
      <c r="D44" s="483">
        <f>IF(F43+SUM(E$17:E43)=D$10,F43,D$10-SUM(E$17:E43))</f>
        <v>4400622.137114211</v>
      </c>
      <c r="E44" s="482">
        <f>IF(+I14&lt;F43,I14,D44)</f>
        <v>293745.25641025644</v>
      </c>
      <c r="F44" s="483">
        <f t="shared" si="23"/>
        <v>4106876.8807039545</v>
      </c>
      <c r="G44" s="484">
        <f t="shared" si="24"/>
        <v>801468.33415050618</v>
      </c>
      <c r="H44" s="453">
        <f t="shared" si="25"/>
        <v>801468.33415050618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6"/>
        <v/>
      </c>
      <c r="C45" s="470">
        <f>IF(D11="","-",+C44+1)</f>
        <v>2037</v>
      </c>
      <c r="D45" s="483">
        <f>IF(F44+SUM(E$17:E44)=D$10,F44,D$10-SUM(E$17:E44))</f>
        <v>4106876.8807039545</v>
      </c>
      <c r="E45" s="482">
        <f>IF(+I14&lt;F44,I14,D45)</f>
        <v>293745.25641025644</v>
      </c>
      <c r="F45" s="483">
        <f t="shared" si="23"/>
        <v>3813131.624293698</v>
      </c>
      <c r="G45" s="484">
        <f t="shared" si="24"/>
        <v>766407.20858496637</v>
      </c>
      <c r="H45" s="453">
        <f t="shared" si="25"/>
        <v>766407.20858496637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6"/>
        <v/>
      </c>
      <c r="C46" s="470">
        <f>IF(D11="","-",+C45+1)</f>
        <v>2038</v>
      </c>
      <c r="D46" s="483">
        <f>IF(F45+SUM(E$17:E45)=D$10,F45,D$10-SUM(E$17:E45))</f>
        <v>3813131.624293698</v>
      </c>
      <c r="E46" s="482">
        <f>IF(+I14&lt;F45,I14,D46)</f>
        <v>293745.25641025644</v>
      </c>
      <c r="F46" s="483">
        <f t="shared" si="23"/>
        <v>3519386.3678834415</v>
      </c>
      <c r="G46" s="484">
        <f t="shared" si="24"/>
        <v>731346.08301942679</v>
      </c>
      <c r="H46" s="453">
        <f t="shared" si="25"/>
        <v>731346.08301942679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6"/>
        <v/>
      </c>
      <c r="C47" s="470">
        <f>IF(D11="","-",+C46+1)</f>
        <v>2039</v>
      </c>
      <c r="D47" s="483">
        <f>IF(F46+SUM(E$17:E46)=D$10,F46,D$10-SUM(E$17:E46))</f>
        <v>3519386.3678834415</v>
      </c>
      <c r="E47" s="482">
        <f>IF(+I14&lt;F46,I14,D47)</f>
        <v>293745.25641025644</v>
      </c>
      <c r="F47" s="483">
        <f t="shared" si="23"/>
        <v>3225641.111473185</v>
      </c>
      <c r="G47" s="484">
        <f t="shared" si="24"/>
        <v>696284.95745388698</v>
      </c>
      <c r="H47" s="453">
        <f t="shared" si="25"/>
        <v>696284.95745388698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6"/>
        <v/>
      </c>
      <c r="C48" s="470">
        <f>IF(D11="","-",+C47+1)</f>
        <v>2040</v>
      </c>
      <c r="D48" s="483">
        <f>IF(F47+SUM(E$17:E47)=D$10,F47,D$10-SUM(E$17:E47))</f>
        <v>3225641.111473185</v>
      </c>
      <c r="E48" s="482">
        <f>IF(+I14&lt;F47,I14,D48)</f>
        <v>293745.25641025644</v>
      </c>
      <c r="F48" s="483">
        <f t="shared" si="23"/>
        <v>2931895.8550629285</v>
      </c>
      <c r="G48" s="484">
        <f t="shared" si="24"/>
        <v>661223.8318883474</v>
      </c>
      <c r="H48" s="453">
        <f t="shared" si="25"/>
        <v>661223.8318883474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6"/>
        <v/>
      </c>
      <c r="C49" s="470">
        <f>IF(D11="","-",+C48+1)</f>
        <v>2041</v>
      </c>
      <c r="D49" s="483">
        <f>IF(F48+SUM(E$17:E48)=D$10,F48,D$10-SUM(E$17:E48))</f>
        <v>2931895.8550629285</v>
      </c>
      <c r="E49" s="482">
        <f>IF(+I14&lt;F48,I14,D49)</f>
        <v>293745.25641025644</v>
      </c>
      <c r="F49" s="483">
        <f t="shared" si="23"/>
        <v>2638150.598652672</v>
      </c>
      <c r="G49" s="484">
        <f t="shared" si="24"/>
        <v>626162.70632280759</v>
      </c>
      <c r="H49" s="453">
        <f t="shared" si="25"/>
        <v>626162.70632280759</v>
      </c>
      <c r="I49" s="473">
        <f t="shared" ref="I49:I72" si="26">H303-G303</f>
        <v>0</v>
      </c>
      <c r="J49" s="473"/>
      <c r="K49" s="485"/>
      <c r="L49" s="476">
        <f t="shared" ref="L49:L72" si="27">IF(K303&lt;&gt;0,+G303-K303,0)</f>
        <v>0</v>
      </c>
      <c r="M49" s="485"/>
      <c r="N49" s="476">
        <f t="shared" ref="N49:N72" si="28">IF(M303&lt;&gt;0,+H303-M303,0)</f>
        <v>0</v>
      </c>
      <c r="O49" s="476">
        <f t="shared" ref="O49:O72" si="29">+N303-L303</f>
        <v>0</v>
      </c>
      <c r="P49" s="241"/>
    </row>
    <row r="50" spans="2:16" ht="12.5">
      <c r="B50" s="160" t="str">
        <f t="shared" si="6"/>
        <v/>
      </c>
      <c r="C50" s="470">
        <f>IF(D11="","-",+C49+1)</f>
        <v>2042</v>
      </c>
      <c r="D50" s="483">
        <f>IF(F49+SUM(E$17:E49)=D$10,F49,D$10-SUM(E$17:E49))</f>
        <v>2638150.598652672</v>
      </c>
      <c r="E50" s="482">
        <f>IF(+I14&lt;F49,I14,D50)</f>
        <v>293745.25641025644</v>
      </c>
      <c r="F50" s="483">
        <f t="shared" si="23"/>
        <v>2344405.3422424155</v>
      </c>
      <c r="G50" s="484">
        <f t="shared" si="24"/>
        <v>591101.58075726789</v>
      </c>
      <c r="H50" s="453">
        <f t="shared" si="25"/>
        <v>591101.58075726789</v>
      </c>
      <c r="I50" s="473">
        <f t="shared" si="26"/>
        <v>0</v>
      </c>
      <c r="J50" s="473"/>
      <c r="K50" s="485"/>
      <c r="L50" s="476">
        <f t="shared" si="27"/>
        <v>0</v>
      </c>
      <c r="M50" s="485"/>
      <c r="N50" s="476">
        <f t="shared" si="28"/>
        <v>0</v>
      </c>
      <c r="O50" s="476">
        <f t="shared" si="29"/>
        <v>0</v>
      </c>
      <c r="P50" s="241"/>
    </row>
    <row r="51" spans="2:16" ht="12.5">
      <c r="B51" s="160" t="str">
        <f t="shared" si="6"/>
        <v/>
      </c>
      <c r="C51" s="470">
        <f>IF(D11="","-",+C50+1)</f>
        <v>2043</v>
      </c>
      <c r="D51" s="483">
        <f>IF(F50+SUM(E$17:E50)=D$10,F50,D$10-SUM(E$17:E50))</f>
        <v>2344405.3422424155</v>
      </c>
      <c r="E51" s="482">
        <f>IF(+I14&lt;F50,I14,D51)</f>
        <v>293745.25641025644</v>
      </c>
      <c r="F51" s="483">
        <f t="shared" si="23"/>
        <v>2050660.085832159</v>
      </c>
      <c r="G51" s="484">
        <f t="shared" si="24"/>
        <v>556040.45519172819</v>
      </c>
      <c r="H51" s="453">
        <f t="shared" si="25"/>
        <v>556040.45519172819</v>
      </c>
      <c r="I51" s="473">
        <f t="shared" si="26"/>
        <v>0</v>
      </c>
      <c r="J51" s="473"/>
      <c r="K51" s="485"/>
      <c r="L51" s="476">
        <f t="shared" si="27"/>
        <v>0</v>
      </c>
      <c r="M51" s="485"/>
      <c r="N51" s="476">
        <f t="shared" si="28"/>
        <v>0</v>
      </c>
      <c r="O51" s="476">
        <f t="shared" si="29"/>
        <v>0</v>
      </c>
      <c r="P51" s="241"/>
    </row>
    <row r="52" spans="2:16" ht="12.5">
      <c r="B52" s="160" t="str">
        <f t="shared" si="6"/>
        <v/>
      </c>
      <c r="C52" s="470">
        <f>IF(D11="","-",+C51+1)</f>
        <v>2044</v>
      </c>
      <c r="D52" s="483">
        <f>IF(F51+SUM(E$17:E51)=D$10,F51,D$10-SUM(E$17:E51))</f>
        <v>2050660.085832159</v>
      </c>
      <c r="E52" s="482">
        <f>IF(+I14&lt;F51,I14,D52)</f>
        <v>293745.25641025644</v>
      </c>
      <c r="F52" s="483">
        <f t="shared" si="23"/>
        <v>1756914.8294219025</v>
      </c>
      <c r="G52" s="484">
        <f t="shared" si="24"/>
        <v>520979.32962618844</v>
      </c>
      <c r="H52" s="453">
        <f t="shared" si="25"/>
        <v>520979.32962618844</v>
      </c>
      <c r="I52" s="473">
        <f t="shared" si="26"/>
        <v>0</v>
      </c>
      <c r="J52" s="473"/>
      <c r="K52" s="485"/>
      <c r="L52" s="476">
        <f t="shared" si="27"/>
        <v>0</v>
      </c>
      <c r="M52" s="485"/>
      <c r="N52" s="476">
        <f t="shared" si="28"/>
        <v>0</v>
      </c>
      <c r="O52" s="476">
        <f t="shared" si="29"/>
        <v>0</v>
      </c>
      <c r="P52" s="241"/>
    </row>
    <row r="53" spans="2:16" ht="12.5">
      <c r="B53" s="160" t="str">
        <f t="shared" si="6"/>
        <v/>
      </c>
      <c r="C53" s="470">
        <f>IF(D11="","-",+C52+1)</f>
        <v>2045</v>
      </c>
      <c r="D53" s="483">
        <f>IF(F52+SUM(E$17:E52)=D$10,F52,D$10-SUM(E$17:E52))</f>
        <v>1756914.8294219025</v>
      </c>
      <c r="E53" s="482">
        <f>IF(+I14&lt;F52,I14,D53)</f>
        <v>293745.25641025644</v>
      </c>
      <c r="F53" s="483">
        <f t="shared" si="23"/>
        <v>1463169.573011646</v>
      </c>
      <c r="G53" s="484">
        <f t="shared" si="24"/>
        <v>485918.20406064868</v>
      </c>
      <c r="H53" s="453">
        <f t="shared" si="25"/>
        <v>485918.20406064868</v>
      </c>
      <c r="I53" s="473">
        <f t="shared" si="26"/>
        <v>0</v>
      </c>
      <c r="J53" s="473"/>
      <c r="K53" s="485"/>
      <c r="L53" s="476">
        <f t="shared" si="27"/>
        <v>0</v>
      </c>
      <c r="M53" s="485"/>
      <c r="N53" s="476">
        <f t="shared" si="28"/>
        <v>0</v>
      </c>
      <c r="O53" s="476">
        <f t="shared" si="29"/>
        <v>0</v>
      </c>
      <c r="P53" s="241"/>
    </row>
    <row r="54" spans="2:16" ht="12.5">
      <c r="B54" s="160" t="str">
        <f t="shared" si="6"/>
        <v/>
      </c>
      <c r="C54" s="470">
        <f>IF(D11="","-",+C53+1)</f>
        <v>2046</v>
      </c>
      <c r="D54" s="483">
        <f>IF(F53+SUM(E$17:E53)=D$10,F53,D$10-SUM(E$17:E53))</f>
        <v>1463169.573011646</v>
      </c>
      <c r="E54" s="482">
        <f>IF(+I14&lt;F53,I14,D54)</f>
        <v>293745.25641025644</v>
      </c>
      <c r="F54" s="483">
        <f t="shared" si="23"/>
        <v>1169424.3166013896</v>
      </c>
      <c r="G54" s="484">
        <f t="shared" si="24"/>
        <v>450857.07849510899</v>
      </c>
      <c r="H54" s="453">
        <f t="shared" si="25"/>
        <v>450857.07849510899</v>
      </c>
      <c r="I54" s="473">
        <f t="shared" si="26"/>
        <v>0</v>
      </c>
      <c r="J54" s="473"/>
      <c r="K54" s="485"/>
      <c r="L54" s="476">
        <f t="shared" si="27"/>
        <v>0</v>
      </c>
      <c r="M54" s="485"/>
      <c r="N54" s="476">
        <f t="shared" si="28"/>
        <v>0</v>
      </c>
      <c r="O54" s="476">
        <f t="shared" si="29"/>
        <v>0</v>
      </c>
      <c r="P54" s="241"/>
    </row>
    <row r="55" spans="2:16" ht="12.5">
      <c r="B55" s="160" t="str">
        <f t="shared" si="6"/>
        <v/>
      </c>
      <c r="C55" s="470">
        <f>IF(D11="","-",+C54+1)</f>
        <v>2047</v>
      </c>
      <c r="D55" s="483">
        <f>IF(F54+SUM(E$17:E54)=D$10,F54,D$10-SUM(E$17:E54))</f>
        <v>1169424.3166013896</v>
      </c>
      <c r="E55" s="482">
        <f>IF(+I14&lt;F54,I14,D55)</f>
        <v>293745.25641025644</v>
      </c>
      <c r="F55" s="483">
        <f t="shared" si="23"/>
        <v>875679.06019113306</v>
      </c>
      <c r="G55" s="484">
        <f t="shared" si="24"/>
        <v>415795.95292956929</v>
      </c>
      <c r="H55" s="453">
        <f t="shared" si="25"/>
        <v>415795.95292956929</v>
      </c>
      <c r="I55" s="473">
        <f t="shared" si="26"/>
        <v>0</v>
      </c>
      <c r="J55" s="473"/>
      <c r="K55" s="485"/>
      <c r="L55" s="476">
        <f t="shared" si="27"/>
        <v>0</v>
      </c>
      <c r="M55" s="485"/>
      <c r="N55" s="476">
        <f t="shared" si="28"/>
        <v>0</v>
      </c>
      <c r="O55" s="476">
        <f t="shared" si="29"/>
        <v>0</v>
      </c>
      <c r="P55" s="241"/>
    </row>
    <row r="56" spans="2:16" ht="12.5">
      <c r="B56" s="160" t="str">
        <f t="shared" si="6"/>
        <v/>
      </c>
      <c r="C56" s="470">
        <f>IF(D11="","-",+C55+1)</f>
        <v>2048</v>
      </c>
      <c r="D56" s="483">
        <f>IF(F55+SUM(E$17:E55)=D$10,F55,D$10-SUM(E$17:E55))</f>
        <v>875679.06019113306</v>
      </c>
      <c r="E56" s="482">
        <f>IF(+I14&lt;F55,I14,D56)</f>
        <v>293745.25641025644</v>
      </c>
      <c r="F56" s="483">
        <f t="shared" si="23"/>
        <v>581933.80378087657</v>
      </c>
      <c r="G56" s="484">
        <f t="shared" si="24"/>
        <v>380734.8273640296</v>
      </c>
      <c r="H56" s="453">
        <f t="shared" si="25"/>
        <v>380734.8273640296</v>
      </c>
      <c r="I56" s="473">
        <f t="shared" si="26"/>
        <v>0</v>
      </c>
      <c r="J56" s="473"/>
      <c r="K56" s="485"/>
      <c r="L56" s="476">
        <f t="shared" si="27"/>
        <v>0</v>
      </c>
      <c r="M56" s="485"/>
      <c r="N56" s="476">
        <f t="shared" si="28"/>
        <v>0</v>
      </c>
      <c r="O56" s="476">
        <f t="shared" si="29"/>
        <v>0</v>
      </c>
      <c r="P56" s="241"/>
    </row>
    <row r="57" spans="2:16" ht="12.5">
      <c r="B57" s="160" t="str">
        <f t="shared" si="6"/>
        <v/>
      </c>
      <c r="C57" s="470">
        <f>IF(D11="","-",+C56+1)</f>
        <v>2049</v>
      </c>
      <c r="D57" s="483">
        <f>IF(F56+SUM(E$17:E56)=D$10,F56,D$10-SUM(E$17:E56))</f>
        <v>581933.80378087657</v>
      </c>
      <c r="E57" s="482">
        <f>IF(+I14&lt;F56,I14,D57)</f>
        <v>293745.25641025644</v>
      </c>
      <c r="F57" s="483">
        <f t="shared" si="23"/>
        <v>288188.54737062013</v>
      </c>
      <c r="G57" s="484">
        <f t="shared" si="24"/>
        <v>345673.7017984899</v>
      </c>
      <c r="H57" s="453">
        <f t="shared" si="25"/>
        <v>345673.7017984899</v>
      </c>
      <c r="I57" s="473">
        <f t="shared" si="26"/>
        <v>0</v>
      </c>
      <c r="J57" s="473"/>
      <c r="K57" s="485"/>
      <c r="L57" s="476">
        <f t="shared" si="27"/>
        <v>0</v>
      </c>
      <c r="M57" s="485"/>
      <c r="N57" s="476">
        <f t="shared" si="28"/>
        <v>0</v>
      </c>
      <c r="O57" s="476">
        <f t="shared" si="29"/>
        <v>0</v>
      </c>
      <c r="P57" s="241"/>
    </row>
    <row r="58" spans="2:16" ht="12.5">
      <c r="B58" s="160" t="str">
        <f t="shared" si="6"/>
        <v/>
      </c>
      <c r="C58" s="470">
        <f>IF(D11="","-",+C57+1)</f>
        <v>2050</v>
      </c>
      <c r="D58" s="483">
        <f>IF(F57+SUM(E$17:E57)=D$10,F57,D$10-SUM(E$17:E57))</f>
        <v>288188.54737062013</v>
      </c>
      <c r="E58" s="482">
        <f>IF(+I14&lt;F57,I14,D58)</f>
        <v>288188.54737062013</v>
      </c>
      <c r="F58" s="483">
        <f t="shared" si="23"/>
        <v>0</v>
      </c>
      <c r="G58" s="484">
        <f t="shared" si="24"/>
        <v>305387.48867335194</v>
      </c>
      <c r="H58" s="453">
        <f t="shared" si="25"/>
        <v>305387.48867335194</v>
      </c>
      <c r="I58" s="473">
        <f t="shared" si="26"/>
        <v>0</v>
      </c>
      <c r="J58" s="473"/>
      <c r="K58" s="485"/>
      <c r="L58" s="476">
        <f t="shared" si="27"/>
        <v>0</v>
      </c>
      <c r="M58" s="485"/>
      <c r="N58" s="476">
        <f t="shared" si="28"/>
        <v>0</v>
      </c>
      <c r="O58" s="476">
        <f t="shared" si="29"/>
        <v>0</v>
      </c>
      <c r="P58" s="241"/>
    </row>
    <row r="59" spans="2:16" ht="12.5">
      <c r="B59" s="160" t="str">
        <f t="shared" si="6"/>
        <v/>
      </c>
      <c r="C59" s="470">
        <f>IF(D11="","-",+C58+1)</f>
        <v>2051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3"/>
        <v>0</v>
      </c>
      <c r="G59" s="484">
        <f t="shared" si="24"/>
        <v>0</v>
      </c>
      <c r="H59" s="453">
        <f t="shared" si="25"/>
        <v>0</v>
      </c>
      <c r="I59" s="473">
        <f t="shared" si="26"/>
        <v>0</v>
      </c>
      <c r="J59" s="473"/>
      <c r="K59" s="485"/>
      <c r="L59" s="476">
        <f t="shared" si="27"/>
        <v>0</v>
      </c>
      <c r="M59" s="485"/>
      <c r="N59" s="476">
        <f t="shared" si="28"/>
        <v>0</v>
      </c>
      <c r="O59" s="476">
        <f t="shared" si="29"/>
        <v>0</v>
      </c>
      <c r="P59" s="241"/>
    </row>
    <row r="60" spans="2:16" ht="12.5">
      <c r="B60" s="160" t="str">
        <f t="shared" si="6"/>
        <v/>
      </c>
      <c r="C60" s="470">
        <f>IF(D11="","-",+C59+1)</f>
        <v>2052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3"/>
        <v>0</v>
      </c>
      <c r="G60" s="484">
        <f t="shared" si="24"/>
        <v>0</v>
      </c>
      <c r="H60" s="453">
        <f t="shared" si="25"/>
        <v>0</v>
      </c>
      <c r="I60" s="473">
        <f t="shared" si="26"/>
        <v>0</v>
      </c>
      <c r="J60" s="473"/>
      <c r="K60" s="485"/>
      <c r="L60" s="476">
        <f t="shared" si="27"/>
        <v>0</v>
      </c>
      <c r="M60" s="485"/>
      <c r="N60" s="476">
        <f t="shared" si="28"/>
        <v>0</v>
      </c>
      <c r="O60" s="476">
        <f t="shared" si="29"/>
        <v>0</v>
      </c>
      <c r="P60" s="241"/>
    </row>
    <row r="61" spans="2:16" ht="12.5">
      <c r="B61" s="160" t="str">
        <f t="shared" si="6"/>
        <v/>
      </c>
      <c r="C61" s="470">
        <f>IF(D11="","-",+C60+1)</f>
        <v>2053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3"/>
        <v>0</v>
      </c>
      <c r="G61" s="484">
        <f t="shared" si="24"/>
        <v>0</v>
      </c>
      <c r="H61" s="453">
        <f t="shared" si="25"/>
        <v>0</v>
      </c>
      <c r="I61" s="473">
        <f t="shared" si="26"/>
        <v>0</v>
      </c>
      <c r="J61" s="473"/>
      <c r="K61" s="485"/>
      <c r="L61" s="476">
        <f t="shared" si="27"/>
        <v>0</v>
      </c>
      <c r="M61" s="485"/>
      <c r="N61" s="476">
        <f t="shared" si="28"/>
        <v>0</v>
      </c>
      <c r="O61" s="476">
        <f t="shared" si="29"/>
        <v>0</v>
      </c>
      <c r="P61" s="241"/>
    </row>
    <row r="62" spans="2:16" ht="12.5">
      <c r="B62" s="160" t="str">
        <f t="shared" si="6"/>
        <v/>
      </c>
      <c r="C62" s="470">
        <f>IF(D11="","-",+C61+1)</f>
        <v>2054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3"/>
        <v>0</v>
      </c>
      <c r="G62" s="484">
        <f t="shared" si="24"/>
        <v>0</v>
      </c>
      <c r="H62" s="453">
        <f t="shared" si="25"/>
        <v>0</v>
      </c>
      <c r="I62" s="473">
        <f t="shared" si="26"/>
        <v>0</v>
      </c>
      <c r="J62" s="473"/>
      <c r="K62" s="485"/>
      <c r="L62" s="476">
        <f t="shared" si="27"/>
        <v>0</v>
      </c>
      <c r="M62" s="485"/>
      <c r="N62" s="476">
        <f t="shared" si="28"/>
        <v>0</v>
      </c>
      <c r="O62" s="476">
        <f t="shared" si="29"/>
        <v>0</v>
      </c>
      <c r="P62" s="241"/>
    </row>
    <row r="63" spans="2:16" ht="12.5">
      <c r="B63" s="160" t="str">
        <f t="shared" si="6"/>
        <v/>
      </c>
      <c r="C63" s="470">
        <f>IF(D11="","-",+C62+1)</f>
        <v>2055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3"/>
        <v>0</v>
      </c>
      <c r="G63" s="484">
        <f t="shared" si="24"/>
        <v>0</v>
      </c>
      <c r="H63" s="453">
        <f t="shared" si="25"/>
        <v>0</v>
      </c>
      <c r="I63" s="473">
        <f t="shared" si="26"/>
        <v>0</v>
      </c>
      <c r="J63" s="473"/>
      <c r="K63" s="485"/>
      <c r="L63" s="476">
        <f t="shared" si="27"/>
        <v>0</v>
      </c>
      <c r="M63" s="485"/>
      <c r="N63" s="476">
        <f t="shared" si="28"/>
        <v>0</v>
      </c>
      <c r="O63" s="476">
        <f t="shared" si="29"/>
        <v>0</v>
      </c>
      <c r="P63" s="241"/>
    </row>
    <row r="64" spans="2:16" ht="12.5">
      <c r="B64" s="160" t="str">
        <f t="shared" si="6"/>
        <v/>
      </c>
      <c r="C64" s="470">
        <f>IF(D11="","-",+C63+1)</f>
        <v>2056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3"/>
        <v>0</v>
      </c>
      <c r="G64" s="484">
        <f t="shared" si="24"/>
        <v>0</v>
      </c>
      <c r="H64" s="453">
        <f t="shared" si="25"/>
        <v>0</v>
      </c>
      <c r="I64" s="473">
        <f t="shared" si="26"/>
        <v>0</v>
      </c>
      <c r="J64" s="473"/>
      <c r="K64" s="485"/>
      <c r="L64" s="476">
        <f t="shared" si="27"/>
        <v>0</v>
      </c>
      <c r="M64" s="485"/>
      <c r="N64" s="476">
        <f t="shared" si="28"/>
        <v>0</v>
      </c>
      <c r="O64" s="476">
        <f t="shared" si="29"/>
        <v>0</v>
      </c>
      <c r="P64" s="241"/>
    </row>
    <row r="65" spans="2:16" ht="12.5">
      <c r="B65" s="160" t="str">
        <f t="shared" si="6"/>
        <v/>
      </c>
      <c r="C65" s="470">
        <f>IF(D11="","-",+C64+1)</f>
        <v>2057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3"/>
        <v>0</v>
      </c>
      <c r="G65" s="484">
        <f t="shared" si="24"/>
        <v>0</v>
      </c>
      <c r="H65" s="453">
        <f t="shared" si="25"/>
        <v>0</v>
      </c>
      <c r="I65" s="473">
        <f t="shared" si="26"/>
        <v>0</v>
      </c>
      <c r="J65" s="473"/>
      <c r="K65" s="485"/>
      <c r="L65" s="476">
        <f t="shared" si="27"/>
        <v>0</v>
      </c>
      <c r="M65" s="485"/>
      <c r="N65" s="476">
        <f t="shared" si="28"/>
        <v>0</v>
      </c>
      <c r="O65" s="476">
        <f t="shared" si="29"/>
        <v>0</v>
      </c>
      <c r="P65" s="241"/>
    </row>
    <row r="66" spans="2:16" ht="12.5">
      <c r="B66" s="160" t="str">
        <f t="shared" si="6"/>
        <v/>
      </c>
      <c r="C66" s="470">
        <f>IF(D11="","-",+C65+1)</f>
        <v>2058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3"/>
        <v>0</v>
      </c>
      <c r="G66" s="484">
        <f t="shared" si="24"/>
        <v>0</v>
      </c>
      <c r="H66" s="453">
        <f t="shared" si="25"/>
        <v>0</v>
      </c>
      <c r="I66" s="473">
        <f t="shared" si="26"/>
        <v>0</v>
      </c>
      <c r="J66" s="473"/>
      <c r="K66" s="485"/>
      <c r="L66" s="476">
        <f t="shared" si="27"/>
        <v>0</v>
      </c>
      <c r="M66" s="485"/>
      <c r="N66" s="476">
        <f t="shared" si="28"/>
        <v>0</v>
      </c>
      <c r="O66" s="476">
        <f t="shared" si="29"/>
        <v>0</v>
      </c>
      <c r="P66" s="241"/>
    </row>
    <row r="67" spans="2:16" ht="12.5">
      <c r="B67" s="160" t="str">
        <f t="shared" si="6"/>
        <v/>
      </c>
      <c r="C67" s="470">
        <f>IF(D11="","-",+C66+1)</f>
        <v>2059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3"/>
        <v>0</v>
      </c>
      <c r="G67" s="484">
        <f t="shared" si="24"/>
        <v>0</v>
      </c>
      <c r="H67" s="453">
        <f t="shared" si="25"/>
        <v>0</v>
      </c>
      <c r="I67" s="473">
        <f t="shared" si="26"/>
        <v>0</v>
      </c>
      <c r="J67" s="473"/>
      <c r="K67" s="485"/>
      <c r="L67" s="476">
        <f t="shared" si="27"/>
        <v>0</v>
      </c>
      <c r="M67" s="485"/>
      <c r="N67" s="476">
        <f t="shared" si="28"/>
        <v>0</v>
      </c>
      <c r="O67" s="476">
        <f t="shared" si="29"/>
        <v>0</v>
      </c>
      <c r="P67" s="241"/>
    </row>
    <row r="68" spans="2:16" ht="12.5">
      <c r="B68" s="160" t="str">
        <f t="shared" si="6"/>
        <v/>
      </c>
      <c r="C68" s="470">
        <f>IF(D11="","-",+C67+1)</f>
        <v>2060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3"/>
        <v>0</v>
      </c>
      <c r="G68" s="484">
        <f t="shared" si="24"/>
        <v>0</v>
      </c>
      <c r="H68" s="453">
        <f t="shared" si="25"/>
        <v>0</v>
      </c>
      <c r="I68" s="473">
        <f t="shared" si="26"/>
        <v>0</v>
      </c>
      <c r="J68" s="473"/>
      <c r="K68" s="485"/>
      <c r="L68" s="476">
        <f t="shared" si="27"/>
        <v>0</v>
      </c>
      <c r="M68" s="485"/>
      <c r="N68" s="476">
        <f t="shared" si="28"/>
        <v>0</v>
      </c>
      <c r="O68" s="476">
        <f t="shared" si="29"/>
        <v>0</v>
      </c>
      <c r="P68" s="241"/>
    </row>
    <row r="69" spans="2:16" ht="12.5">
      <c r="B69" s="160" t="str">
        <f t="shared" si="6"/>
        <v/>
      </c>
      <c r="C69" s="470">
        <f>IF(D11="","-",+C68+1)</f>
        <v>2061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3"/>
        <v>0</v>
      </c>
      <c r="G69" s="484">
        <f t="shared" si="24"/>
        <v>0</v>
      </c>
      <c r="H69" s="453">
        <f t="shared" si="25"/>
        <v>0</v>
      </c>
      <c r="I69" s="473">
        <f t="shared" si="26"/>
        <v>0</v>
      </c>
      <c r="J69" s="473"/>
      <c r="K69" s="485"/>
      <c r="L69" s="476">
        <f t="shared" si="27"/>
        <v>0</v>
      </c>
      <c r="M69" s="485"/>
      <c r="N69" s="476">
        <f t="shared" si="28"/>
        <v>0</v>
      </c>
      <c r="O69" s="476">
        <f t="shared" si="29"/>
        <v>0</v>
      </c>
      <c r="P69" s="241"/>
    </row>
    <row r="70" spans="2:16" ht="12.5">
      <c r="B70" s="160" t="str">
        <f t="shared" si="6"/>
        <v/>
      </c>
      <c r="C70" s="470">
        <f>IF(D11="","-",+C69+1)</f>
        <v>2062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3"/>
        <v>0</v>
      </c>
      <c r="G70" s="484">
        <f t="shared" si="24"/>
        <v>0</v>
      </c>
      <c r="H70" s="453">
        <f t="shared" si="25"/>
        <v>0</v>
      </c>
      <c r="I70" s="473">
        <f t="shared" si="26"/>
        <v>0</v>
      </c>
      <c r="J70" s="473"/>
      <c r="K70" s="485"/>
      <c r="L70" s="476">
        <f t="shared" si="27"/>
        <v>0</v>
      </c>
      <c r="M70" s="485"/>
      <c r="N70" s="476">
        <f t="shared" si="28"/>
        <v>0</v>
      </c>
      <c r="O70" s="476">
        <f t="shared" si="29"/>
        <v>0</v>
      </c>
      <c r="P70" s="241"/>
    </row>
    <row r="71" spans="2:16" ht="12.5">
      <c r="B71" s="160" t="str">
        <f t="shared" si="6"/>
        <v/>
      </c>
      <c r="C71" s="470">
        <f>IF(D11="","-",+C70+1)</f>
        <v>2063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3"/>
        <v>0</v>
      </c>
      <c r="G71" s="484">
        <f t="shared" si="24"/>
        <v>0</v>
      </c>
      <c r="H71" s="453">
        <f t="shared" si="25"/>
        <v>0</v>
      </c>
      <c r="I71" s="473">
        <f t="shared" si="26"/>
        <v>0</v>
      </c>
      <c r="J71" s="473"/>
      <c r="K71" s="485"/>
      <c r="L71" s="476">
        <f t="shared" si="27"/>
        <v>0</v>
      </c>
      <c r="M71" s="485"/>
      <c r="N71" s="476">
        <f t="shared" si="28"/>
        <v>0</v>
      </c>
      <c r="O71" s="476">
        <f t="shared" si="29"/>
        <v>0</v>
      </c>
      <c r="P71" s="241"/>
    </row>
    <row r="72" spans="2:16" ht="13" thickBot="1">
      <c r="B72" s="160" t="str">
        <f t="shared" si="6"/>
        <v/>
      </c>
      <c r="C72" s="487">
        <f>IF(D11="","-",+C71+1)</f>
        <v>2064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3"/>
        <v>0</v>
      </c>
      <c r="G72" s="488">
        <f t="shared" si="24"/>
        <v>0</v>
      </c>
      <c r="H72" s="488">
        <f t="shared" si="25"/>
        <v>0</v>
      </c>
      <c r="I72" s="491">
        <f t="shared" si="26"/>
        <v>0</v>
      </c>
      <c r="J72" s="473"/>
      <c r="K72" s="492"/>
      <c r="L72" s="493">
        <f t="shared" si="27"/>
        <v>0</v>
      </c>
      <c r="M72" s="492"/>
      <c r="N72" s="493">
        <f t="shared" si="28"/>
        <v>0</v>
      </c>
      <c r="O72" s="493">
        <f t="shared" si="29"/>
        <v>0</v>
      </c>
      <c r="P72" s="241"/>
    </row>
    <row r="73" spans="2:16" ht="12.5">
      <c r="C73" s="345" t="s">
        <v>77</v>
      </c>
      <c r="D73" s="346"/>
      <c r="E73" s="346">
        <f>SUM(E17:E72)</f>
        <v>11456064.999999996</v>
      </c>
      <c r="F73" s="346"/>
      <c r="G73" s="346">
        <f>SUM(G17:G72)</f>
        <v>42633993.449495941</v>
      </c>
      <c r="H73" s="346">
        <f>SUM(H17:H72)</f>
        <v>42633993.449495941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3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1239732.4037197519</v>
      </c>
      <c r="N87" s="506">
        <f>IF(J92&lt;D11,0,VLOOKUP(J92,C17:O72,11))</f>
        <v>1239732.4037197519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1216362.1317254766</v>
      </c>
      <c r="N88" s="510">
        <f>IF(J92&lt;D11,0,VLOOKUP(J92,C99:P154,7))</f>
        <v>1216362.1317254766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WFEC New 138 kV Ties: Sayre to Erick (WFEC) Line &amp; Atoka and Tupelo station work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-23370.271994275274</v>
      </c>
      <c r="N89" s="515">
        <f>+N88-N87</f>
        <v>-23370.271994275274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TP2006054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11456065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10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301475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2009</v>
      </c>
      <c r="D99" s="471">
        <v>0</v>
      </c>
      <c r="E99" s="478">
        <v>26281</v>
      </c>
      <c r="F99" s="477">
        <v>8804059</v>
      </c>
      <c r="G99" s="535">
        <v>4402030</v>
      </c>
      <c r="H99" s="536">
        <v>669894</v>
      </c>
      <c r="I99" s="537">
        <v>669894</v>
      </c>
      <c r="J99" s="476">
        <f t="shared" ref="J99:J130" si="30">+I99-H99</f>
        <v>0</v>
      </c>
      <c r="K99" s="476"/>
      <c r="L99" s="552">
        <f t="shared" ref="L99:L104" si="31">H99</f>
        <v>669894</v>
      </c>
      <c r="M99" s="475">
        <f t="shared" ref="M99:M130" si="32">IF(L99&lt;&gt;0,+H99-L99,0)</f>
        <v>0</v>
      </c>
      <c r="N99" s="552">
        <f t="shared" ref="N99:N104" si="33">I99</f>
        <v>669894</v>
      </c>
      <c r="O99" s="475">
        <f t="shared" ref="O99:O130" si="34">IF(N99&lt;&gt;0,+I99-N99,0)</f>
        <v>0</v>
      </c>
      <c r="P99" s="475">
        <f t="shared" ref="P99:P130" si="35">+O99-M99</f>
        <v>0</v>
      </c>
    </row>
    <row r="100" spans="1:16" ht="12.5">
      <c r="B100" s="160" t="str">
        <f>IF(D100=F99,"","IU")</f>
        <v>IU</v>
      </c>
      <c r="C100" s="470">
        <f>IF(D93="","-",+C99+1)</f>
        <v>2010</v>
      </c>
      <c r="D100" s="471">
        <v>12205867</v>
      </c>
      <c r="E100" s="478">
        <v>239846</v>
      </c>
      <c r="F100" s="477">
        <v>11966021</v>
      </c>
      <c r="G100" s="477">
        <v>12085944</v>
      </c>
      <c r="H100" s="478">
        <v>2183449.7644146364</v>
      </c>
      <c r="I100" s="479">
        <v>2183449.7644146364</v>
      </c>
      <c r="J100" s="476">
        <f t="shared" si="30"/>
        <v>0</v>
      </c>
      <c r="K100" s="476"/>
      <c r="L100" s="538">
        <f t="shared" si="31"/>
        <v>2183449.7644146364</v>
      </c>
      <c r="M100" s="539">
        <f t="shared" si="32"/>
        <v>0</v>
      </c>
      <c r="N100" s="538">
        <f t="shared" si="33"/>
        <v>2183449.7644146364</v>
      </c>
      <c r="O100" s="476">
        <f t="shared" si="34"/>
        <v>0</v>
      </c>
      <c r="P100" s="476">
        <f t="shared" si="35"/>
        <v>0</v>
      </c>
    </row>
    <row r="101" spans="1:16" ht="12.5">
      <c r="B101" s="160" t="str">
        <f t="shared" ref="B101:B154" si="36">IF(D101=F100,"","IU")</f>
        <v/>
      </c>
      <c r="C101" s="470">
        <f>IF(D93="","-",+C100+1)</f>
        <v>2011</v>
      </c>
      <c r="D101" s="471">
        <v>11966021</v>
      </c>
      <c r="E101" s="478">
        <v>235234</v>
      </c>
      <c r="F101" s="477">
        <v>11730787</v>
      </c>
      <c r="G101" s="477">
        <v>11848404</v>
      </c>
      <c r="H101" s="478">
        <v>1891800.0972614796</v>
      </c>
      <c r="I101" s="479">
        <v>1891800.0972614796</v>
      </c>
      <c r="J101" s="476">
        <f t="shared" si="30"/>
        <v>0</v>
      </c>
      <c r="K101" s="476"/>
      <c r="L101" s="538">
        <f t="shared" si="31"/>
        <v>1891800.0972614796</v>
      </c>
      <c r="M101" s="539">
        <f t="shared" si="32"/>
        <v>0</v>
      </c>
      <c r="N101" s="538">
        <f t="shared" si="33"/>
        <v>1891800.0972614796</v>
      </c>
      <c r="O101" s="476">
        <f t="shared" si="34"/>
        <v>0</v>
      </c>
      <c r="P101" s="476">
        <f t="shared" si="35"/>
        <v>0</v>
      </c>
    </row>
    <row r="102" spans="1:16" ht="12.5">
      <c r="B102" s="160" t="str">
        <f t="shared" si="36"/>
        <v/>
      </c>
      <c r="C102" s="470">
        <f>IF(D93="","-",+C101+1)</f>
        <v>2012</v>
      </c>
      <c r="D102" s="471">
        <v>11730787</v>
      </c>
      <c r="E102" s="478">
        <v>235234</v>
      </c>
      <c r="F102" s="477">
        <v>11495553</v>
      </c>
      <c r="G102" s="477">
        <v>11613170</v>
      </c>
      <c r="H102" s="478">
        <v>1905852.1655461292</v>
      </c>
      <c r="I102" s="479">
        <v>1905852.1655461292</v>
      </c>
      <c r="J102" s="476">
        <v>0</v>
      </c>
      <c r="K102" s="476"/>
      <c r="L102" s="538">
        <f t="shared" si="31"/>
        <v>1905852.1655461292</v>
      </c>
      <c r="M102" s="539">
        <f t="shared" ref="M102:M107" si="37">IF(L102&lt;&gt;0,+H102-L102,0)</f>
        <v>0</v>
      </c>
      <c r="N102" s="538">
        <f t="shared" si="33"/>
        <v>1905852.1655461292</v>
      </c>
      <c r="O102" s="476">
        <f t="shared" ref="O102:O107" si="38">IF(N102&lt;&gt;0,+I102-N102,0)</f>
        <v>0</v>
      </c>
      <c r="P102" s="476">
        <f t="shared" ref="P102:P107" si="39">+O102-M102</f>
        <v>0</v>
      </c>
    </row>
    <row r="103" spans="1:16" ht="12.5">
      <c r="B103" s="160" t="str">
        <f t="shared" si="36"/>
        <v/>
      </c>
      <c r="C103" s="470">
        <f>IF(D93="","-",+C102+1)</f>
        <v>2013</v>
      </c>
      <c r="D103" s="471">
        <v>11495553</v>
      </c>
      <c r="E103" s="478">
        <v>235234</v>
      </c>
      <c r="F103" s="477">
        <v>11260319</v>
      </c>
      <c r="G103" s="477">
        <v>11377936</v>
      </c>
      <c r="H103" s="478">
        <v>1872969.4877104962</v>
      </c>
      <c r="I103" s="479">
        <v>1872969.4877104962</v>
      </c>
      <c r="J103" s="476">
        <v>0</v>
      </c>
      <c r="K103" s="476"/>
      <c r="L103" s="538">
        <f t="shared" si="31"/>
        <v>1872969.4877104962</v>
      </c>
      <c r="M103" s="539">
        <f t="shared" si="37"/>
        <v>0</v>
      </c>
      <c r="N103" s="538">
        <f t="shared" si="33"/>
        <v>1872969.4877104962</v>
      </c>
      <c r="O103" s="476">
        <f t="shared" si="38"/>
        <v>0</v>
      </c>
      <c r="P103" s="476">
        <f t="shared" si="39"/>
        <v>0</v>
      </c>
    </row>
    <row r="104" spans="1:16" ht="12.5">
      <c r="B104" s="160" t="str">
        <f t="shared" si="36"/>
        <v>IU</v>
      </c>
      <c r="C104" s="470">
        <f>IF(D93="","-",+C103+1)</f>
        <v>2014</v>
      </c>
      <c r="D104" s="471">
        <v>10484236</v>
      </c>
      <c r="E104" s="478">
        <v>220309</v>
      </c>
      <c r="F104" s="477">
        <v>10263927</v>
      </c>
      <c r="G104" s="477">
        <v>10374081.5</v>
      </c>
      <c r="H104" s="478">
        <v>1678862.4521722798</v>
      </c>
      <c r="I104" s="479">
        <v>1678862.4521722798</v>
      </c>
      <c r="J104" s="476">
        <v>0</v>
      </c>
      <c r="K104" s="476"/>
      <c r="L104" s="538">
        <f t="shared" si="31"/>
        <v>1678862.4521722798</v>
      </c>
      <c r="M104" s="539">
        <f t="shared" si="37"/>
        <v>0</v>
      </c>
      <c r="N104" s="538">
        <f t="shared" si="33"/>
        <v>1678862.4521722798</v>
      </c>
      <c r="O104" s="476">
        <f t="shared" si="38"/>
        <v>0</v>
      </c>
      <c r="P104" s="476">
        <f t="shared" si="39"/>
        <v>0</v>
      </c>
    </row>
    <row r="105" spans="1:16" ht="12.5">
      <c r="B105" s="160" t="str">
        <f t="shared" si="36"/>
        <v/>
      </c>
      <c r="C105" s="470">
        <f>IF(D93="","-",+C104+1)</f>
        <v>2015</v>
      </c>
      <c r="D105" s="471">
        <v>10263927</v>
      </c>
      <c r="E105" s="478">
        <v>220309</v>
      </c>
      <c r="F105" s="477">
        <v>10043618</v>
      </c>
      <c r="G105" s="477">
        <v>10153772.5</v>
      </c>
      <c r="H105" s="478">
        <v>1605709.6172709188</v>
      </c>
      <c r="I105" s="479">
        <v>1605709.6172709188</v>
      </c>
      <c r="J105" s="476">
        <f t="shared" si="30"/>
        <v>0</v>
      </c>
      <c r="K105" s="476"/>
      <c r="L105" s="538">
        <f t="shared" ref="L105:L110" si="40">H105</f>
        <v>1605709.6172709188</v>
      </c>
      <c r="M105" s="539">
        <f t="shared" si="37"/>
        <v>0</v>
      </c>
      <c r="N105" s="538">
        <f t="shared" ref="N105:N110" si="41">I105</f>
        <v>1605709.6172709188</v>
      </c>
      <c r="O105" s="476">
        <f t="shared" si="38"/>
        <v>0</v>
      </c>
      <c r="P105" s="476">
        <f t="shared" si="39"/>
        <v>0</v>
      </c>
    </row>
    <row r="106" spans="1:16" ht="12.5">
      <c r="B106" s="160" t="str">
        <f t="shared" si="36"/>
        <v/>
      </c>
      <c r="C106" s="470">
        <f>IF(D93="","-",+C105+1)</f>
        <v>2016</v>
      </c>
      <c r="D106" s="471">
        <v>10043618</v>
      </c>
      <c r="E106" s="478">
        <v>249045</v>
      </c>
      <c r="F106" s="477">
        <v>9794573</v>
      </c>
      <c r="G106" s="477">
        <v>9919095.5</v>
      </c>
      <c r="H106" s="478">
        <v>1527772.6245386968</v>
      </c>
      <c r="I106" s="479">
        <v>1527772.6245386968</v>
      </c>
      <c r="J106" s="476">
        <f t="shared" si="30"/>
        <v>0</v>
      </c>
      <c r="K106" s="476"/>
      <c r="L106" s="538">
        <f t="shared" si="40"/>
        <v>1527772.6245386968</v>
      </c>
      <c r="M106" s="539">
        <f t="shared" si="37"/>
        <v>0</v>
      </c>
      <c r="N106" s="538">
        <f t="shared" si="41"/>
        <v>1527772.6245386968</v>
      </c>
      <c r="O106" s="476">
        <f t="shared" si="38"/>
        <v>0</v>
      </c>
      <c r="P106" s="476">
        <f t="shared" si="39"/>
        <v>0</v>
      </c>
    </row>
    <row r="107" spans="1:16" ht="12.5">
      <c r="B107" s="160" t="str">
        <f t="shared" si="36"/>
        <v/>
      </c>
      <c r="C107" s="470">
        <f>IF(D93="","-",+C106+1)</f>
        <v>2017</v>
      </c>
      <c r="D107" s="471">
        <v>9794573</v>
      </c>
      <c r="E107" s="478">
        <v>249045</v>
      </c>
      <c r="F107" s="477">
        <v>9545528</v>
      </c>
      <c r="G107" s="477">
        <v>9670050.5</v>
      </c>
      <c r="H107" s="478">
        <v>1475715.2889659985</v>
      </c>
      <c r="I107" s="479">
        <v>1475715.2889659985</v>
      </c>
      <c r="J107" s="476">
        <f t="shared" si="30"/>
        <v>0</v>
      </c>
      <c r="K107" s="476"/>
      <c r="L107" s="538">
        <f t="shared" si="40"/>
        <v>1475715.2889659985</v>
      </c>
      <c r="M107" s="539">
        <f t="shared" si="37"/>
        <v>0</v>
      </c>
      <c r="N107" s="538">
        <f t="shared" si="41"/>
        <v>1475715.2889659985</v>
      </c>
      <c r="O107" s="476">
        <f t="shared" si="38"/>
        <v>0</v>
      </c>
      <c r="P107" s="476">
        <f t="shared" si="39"/>
        <v>0</v>
      </c>
    </row>
    <row r="108" spans="1:16" ht="12.5">
      <c r="B108" s="160" t="str">
        <f t="shared" si="36"/>
        <v/>
      </c>
      <c r="C108" s="470">
        <f>IF(D93="","-",+C107+1)</f>
        <v>2018</v>
      </c>
      <c r="D108" s="471">
        <v>9545528</v>
      </c>
      <c r="E108" s="478">
        <v>266420</v>
      </c>
      <c r="F108" s="477">
        <v>9279108</v>
      </c>
      <c r="G108" s="477">
        <v>9412318</v>
      </c>
      <c r="H108" s="478">
        <v>1233399.824885203</v>
      </c>
      <c r="I108" s="479">
        <v>1233399.824885203</v>
      </c>
      <c r="J108" s="476">
        <f t="shared" si="30"/>
        <v>0</v>
      </c>
      <c r="K108" s="476"/>
      <c r="L108" s="538">
        <f t="shared" si="40"/>
        <v>1233399.824885203</v>
      </c>
      <c r="M108" s="539">
        <f t="shared" ref="M108" si="42">IF(L108&lt;&gt;0,+H108-L108,0)</f>
        <v>0</v>
      </c>
      <c r="N108" s="538">
        <f t="shared" si="41"/>
        <v>1233399.824885203</v>
      </c>
      <c r="O108" s="476">
        <f t="shared" ref="O108" si="43">IF(N108&lt;&gt;0,+I108-N108,0)</f>
        <v>0</v>
      </c>
      <c r="P108" s="476">
        <f t="shared" ref="P108" si="44">+O108-M108</f>
        <v>0</v>
      </c>
    </row>
    <row r="109" spans="1:16" ht="12.5">
      <c r="B109" s="160" t="str">
        <f t="shared" si="36"/>
        <v/>
      </c>
      <c r="C109" s="470">
        <f>IF(D93="","-",+C108+1)</f>
        <v>2019</v>
      </c>
      <c r="D109" s="471">
        <v>9279108</v>
      </c>
      <c r="E109" s="478">
        <v>279416</v>
      </c>
      <c r="F109" s="477">
        <v>8999692</v>
      </c>
      <c r="G109" s="477">
        <v>9139400</v>
      </c>
      <c r="H109" s="478">
        <v>1221816.3299613127</v>
      </c>
      <c r="I109" s="479">
        <v>1221816.3299613127</v>
      </c>
      <c r="J109" s="476">
        <f t="shared" si="30"/>
        <v>0</v>
      </c>
      <c r="K109" s="476"/>
      <c r="L109" s="538">
        <f t="shared" si="40"/>
        <v>1221816.3299613127</v>
      </c>
      <c r="M109" s="539">
        <f t="shared" ref="M109" si="45">IF(L109&lt;&gt;0,+H109-L109,0)</f>
        <v>0</v>
      </c>
      <c r="N109" s="538">
        <f t="shared" si="41"/>
        <v>1221816.3299613127</v>
      </c>
      <c r="O109" s="476">
        <f t="shared" si="34"/>
        <v>0</v>
      </c>
      <c r="P109" s="476">
        <f t="shared" si="35"/>
        <v>0</v>
      </c>
    </row>
    <row r="110" spans="1:16" ht="12.5">
      <c r="B110" s="160" t="str">
        <f t="shared" si="36"/>
        <v/>
      </c>
      <c r="C110" s="470">
        <f>IF(D93="","-",+C109+1)</f>
        <v>2020</v>
      </c>
      <c r="D110" s="471">
        <v>8999692</v>
      </c>
      <c r="E110" s="478">
        <v>266420</v>
      </c>
      <c r="F110" s="477">
        <v>8733272</v>
      </c>
      <c r="G110" s="477">
        <v>8866482</v>
      </c>
      <c r="H110" s="478">
        <v>1288700.9982176959</v>
      </c>
      <c r="I110" s="479">
        <v>1288700.9982176959</v>
      </c>
      <c r="J110" s="476">
        <f t="shared" si="30"/>
        <v>0</v>
      </c>
      <c r="K110" s="476"/>
      <c r="L110" s="538">
        <f t="shared" si="40"/>
        <v>1288700.9982176959</v>
      </c>
      <c r="M110" s="539">
        <f t="shared" ref="M110" si="46">IF(L110&lt;&gt;0,+H110-L110,0)</f>
        <v>0</v>
      </c>
      <c r="N110" s="538">
        <f t="shared" si="41"/>
        <v>1288700.9982176959</v>
      </c>
      <c r="O110" s="476">
        <f t="shared" si="34"/>
        <v>0</v>
      </c>
      <c r="P110" s="476">
        <f t="shared" si="35"/>
        <v>0</v>
      </c>
    </row>
    <row r="111" spans="1:16" ht="12.5">
      <c r="B111" s="160" t="str">
        <f t="shared" si="36"/>
        <v/>
      </c>
      <c r="C111" s="470">
        <f>IF(D93="","-",+C110+1)</f>
        <v>2021</v>
      </c>
      <c r="D111" s="471">
        <v>8733272</v>
      </c>
      <c r="E111" s="478">
        <v>279416</v>
      </c>
      <c r="F111" s="477">
        <v>8453856</v>
      </c>
      <c r="G111" s="477">
        <v>8593564</v>
      </c>
      <c r="H111" s="478">
        <v>1257301.6496546383</v>
      </c>
      <c r="I111" s="479">
        <v>1257301.6496546383</v>
      </c>
      <c r="J111" s="476">
        <f t="shared" si="30"/>
        <v>0</v>
      </c>
      <c r="K111" s="476"/>
      <c r="L111" s="538">
        <f t="shared" ref="L111" si="47">H111</f>
        <v>1257301.6496546383</v>
      </c>
      <c r="M111" s="539">
        <f t="shared" ref="M111" si="48">IF(L111&lt;&gt;0,+H111-L111,0)</f>
        <v>0</v>
      </c>
      <c r="N111" s="538">
        <f t="shared" ref="N111" si="49">I111</f>
        <v>1257301.6496546383</v>
      </c>
      <c r="O111" s="476">
        <f t="shared" si="34"/>
        <v>0</v>
      </c>
      <c r="P111" s="476">
        <f t="shared" si="35"/>
        <v>0</v>
      </c>
    </row>
    <row r="112" spans="1:16" ht="12.5">
      <c r="B112" s="160" t="str">
        <f t="shared" si="36"/>
        <v/>
      </c>
      <c r="C112" s="470">
        <f>IF(D93="","-",+C111+1)</f>
        <v>2022</v>
      </c>
      <c r="D112" s="471">
        <v>8453856</v>
      </c>
      <c r="E112" s="478">
        <v>293745</v>
      </c>
      <c r="F112" s="477">
        <v>8160111</v>
      </c>
      <c r="G112" s="477">
        <v>8306983.5</v>
      </c>
      <c r="H112" s="478">
        <v>1209030.4794242503</v>
      </c>
      <c r="I112" s="479">
        <v>1209030.4794242503</v>
      </c>
      <c r="J112" s="476">
        <f t="shared" si="30"/>
        <v>0</v>
      </c>
      <c r="K112" s="476"/>
      <c r="L112" s="485"/>
      <c r="M112" s="476">
        <f t="shared" si="32"/>
        <v>0</v>
      </c>
      <c r="N112" s="485"/>
      <c r="O112" s="476">
        <f t="shared" si="34"/>
        <v>0</v>
      </c>
      <c r="P112" s="476">
        <f t="shared" si="35"/>
        <v>0</v>
      </c>
    </row>
    <row r="113" spans="2:16" ht="12.5">
      <c r="B113" s="160" t="str">
        <f t="shared" si="36"/>
        <v/>
      </c>
      <c r="C113" s="470">
        <f>IF(D93="","-",+C112+1)</f>
        <v>2023</v>
      </c>
      <c r="D113" s="345">
        <f>IF(F112+SUM(E$99:E112)=D$92,F112,D$92-SUM(E$99:E112))</f>
        <v>8160111</v>
      </c>
      <c r="E113" s="484">
        <f>IF(+J96&lt;F112,J96,D113)</f>
        <v>301475</v>
      </c>
      <c r="F113" s="483">
        <f t="shared" ref="F113:F130" si="50">+D113-E113</f>
        <v>7858636</v>
      </c>
      <c r="G113" s="483">
        <f t="shared" ref="G113:G130" si="51">+(F113+D113)/2</f>
        <v>8009373.5</v>
      </c>
      <c r="H113" s="484">
        <f t="shared" ref="H113:H154" si="52">(D113+F113)/2*J$94+E113</f>
        <v>1216362.1317254766</v>
      </c>
      <c r="I113" s="540">
        <f t="shared" ref="I113:I154" si="53">+J$95*G113+E113</f>
        <v>1216362.1317254766</v>
      </c>
      <c r="J113" s="476">
        <f t="shared" si="30"/>
        <v>0</v>
      </c>
      <c r="K113" s="476"/>
      <c r="L113" s="485"/>
      <c r="M113" s="476">
        <f t="shared" si="32"/>
        <v>0</v>
      </c>
      <c r="N113" s="485"/>
      <c r="O113" s="476">
        <f t="shared" si="34"/>
        <v>0</v>
      </c>
      <c r="P113" s="476">
        <f t="shared" si="35"/>
        <v>0</v>
      </c>
    </row>
    <row r="114" spans="2:16" ht="12.5">
      <c r="B114" s="160" t="str">
        <f t="shared" si="36"/>
        <v/>
      </c>
      <c r="C114" s="470">
        <f>IF(D93="","-",+C113+1)</f>
        <v>2024</v>
      </c>
      <c r="D114" s="345">
        <f>IF(F113+SUM(E$99:E113)=D$92,F113,D$92-SUM(E$99:E113))</f>
        <v>7858636</v>
      </c>
      <c r="E114" s="484">
        <f>IF(+J96&lt;F113,J96,D114)</f>
        <v>301475</v>
      </c>
      <c r="F114" s="483">
        <f t="shared" si="50"/>
        <v>7557161</v>
      </c>
      <c r="G114" s="483">
        <f t="shared" si="51"/>
        <v>7707898.5</v>
      </c>
      <c r="H114" s="484">
        <f t="shared" si="52"/>
        <v>1181925.5309055825</v>
      </c>
      <c r="I114" s="540">
        <f t="shared" si="53"/>
        <v>1181925.5309055825</v>
      </c>
      <c r="J114" s="476">
        <f t="shared" si="30"/>
        <v>0</v>
      </c>
      <c r="K114" s="476"/>
      <c r="L114" s="485"/>
      <c r="M114" s="476">
        <f t="shared" si="32"/>
        <v>0</v>
      </c>
      <c r="N114" s="485"/>
      <c r="O114" s="476">
        <f t="shared" si="34"/>
        <v>0</v>
      </c>
      <c r="P114" s="476">
        <f t="shared" si="35"/>
        <v>0</v>
      </c>
    </row>
    <row r="115" spans="2:16" ht="12.5">
      <c r="B115" s="160" t="str">
        <f t="shared" si="36"/>
        <v/>
      </c>
      <c r="C115" s="470">
        <f>IF(D93="","-",+C114+1)</f>
        <v>2025</v>
      </c>
      <c r="D115" s="345">
        <f>IF(F114+SUM(E$99:E114)=D$92,F114,D$92-SUM(E$99:E114))</f>
        <v>7557161</v>
      </c>
      <c r="E115" s="484">
        <f>IF(+J96&lt;F114,J96,D115)</f>
        <v>301475</v>
      </c>
      <c r="F115" s="483">
        <f t="shared" si="50"/>
        <v>7255686</v>
      </c>
      <c r="G115" s="483">
        <f t="shared" si="51"/>
        <v>7406423.5</v>
      </c>
      <c r="H115" s="484">
        <f t="shared" si="52"/>
        <v>1147488.9300856884</v>
      </c>
      <c r="I115" s="540">
        <f t="shared" si="53"/>
        <v>1147488.9300856884</v>
      </c>
      <c r="J115" s="476">
        <f t="shared" si="30"/>
        <v>0</v>
      </c>
      <c r="K115" s="476"/>
      <c r="L115" s="485"/>
      <c r="M115" s="476">
        <f t="shared" si="32"/>
        <v>0</v>
      </c>
      <c r="N115" s="485"/>
      <c r="O115" s="476">
        <f t="shared" si="34"/>
        <v>0</v>
      </c>
      <c r="P115" s="476">
        <f t="shared" si="35"/>
        <v>0</v>
      </c>
    </row>
    <row r="116" spans="2:16" ht="12.5">
      <c r="B116" s="160" t="str">
        <f t="shared" si="36"/>
        <v/>
      </c>
      <c r="C116" s="470">
        <f>IF(D93="","-",+C115+1)</f>
        <v>2026</v>
      </c>
      <c r="D116" s="345">
        <f>IF(F115+SUM(E$99:E115)=D$92,F115,D$92-SUM(E$99:E115))</f>
        <v>7255686</v>
      </c>
      <c r="E116" s="484">
        <f>IF(+J96&lt;F115,J96,D116)</f>
        <v>301475</v>
      </c>
      <c r="F116" s="483">
        <f t="shared" si="50"/>
        <v>6954211</v>
      </c>
      <c r="G116" s="483">
        <f t="shared" si="51"/>
        <v>7104948.5</v>
      </c>
      <c r="H116" s="484">
        <f t="shared" si="52"/>
        <v>1113052.3292657945</v>
      </c>
      <c r="I116" s="540">
        <f t="shared" si="53"/>
        <v>1113052.3292657945</v>
      </c>
      <c r="J116" s="476">
        <f t="shared" si="30"/>
        <v>0</v>
      </c>
      <c r="K116" s="476"/>
      <c r="L116" s="485"/>
      <c r="M116" s="476">
        <f t="shared" si="32"/>
        <v>0</v>
      </c>
      <c r="N116" s="485"/>
      <c r="O116" s="476">
        <f t="shared" si="34"/>
        <v>0</v>
      </c>
      <c r="P116" s="476">
        <f t="shared" si="35"/>
        <v>0</v>
      </c>
    </row>
    <row r="117" spans="2:16" ht="12.5">
      <c r="B117" s="160" t="str">
        <f t="shared" si="36"/>
        <v/>
      </c>
      <c r="C117" s="470">
        <f>IF(D93="","-",+C116+1)</f>
        <v>2027</v>
      </c>
      <c r="D117" s="345">
        <f>IF(F116+SUM(E$99:E116)=D$92,F116,D$92-SUM(E$99:E116))</f>
        <v>6954211</v>
      </c>
      <c r="E117" s="484">
        <f>IF(+J96&lt;F116,J96,D117)</f>
        <v>301475</v>
      </c>
      <c r="F117" s="483">
        <f t="shared" si="50"/>
        <v>6652736</v>
      </c>
      <c r="G117" s="483">
        <f t="shared" si="51"/>
        <v>6803473.5</v>
      </c>
      <c r="H117" s="484">
        <f t="shared" si="52"/>
        <v>1078615.7284459004</v>
      </c>
      <c r="I117" s="540">
        <f t="shared" si="53"/>
        <v>1078615.7284459004</v>
      </c>
      <c r="J117" s="476">
        <f t="shared" si="30"/>
        <v>0</v>
      </c>
      <c r="K117" s="476"/>
      <c r="L117" s="485"/>
      <c r="M117" s="476">
        <f t="shared" si="32"/>
        <v>0</v>
      </c>
      <c r="N117" s="485"/>
      <c r="O117" s="476">
        <f t="shared" si="34"/>
        <v>0</v>
      </c>
      <c r="P117" s="476">
        <f t="shared" si="35"/>
        <v>0</v>
      </c>
    </row>
    <row r="118" spans="2:16" ht="12.5">
      <c r="B118" s="160" t="str">
        <f t="shared" si="36"/>
        <v/>
      </c>
      <c r="C118" s="470">
        <f>IF(D93="","-",+C117+1)</f>
        <v>2028</v>
      </c>
      <c r="D118" s="345">
        <f>IF(F117+SUM(E$99:E117)=D$92,F117,D$92-SUM(E$99:E117))</f>
        <v>6652736</v>
      </c>
      <c r="E118" s="484">
        <f>IF(+J96&lt;F117,J96,D118)</f>
        <v>301475</v>
      </c>
      <c r="F118" s="483">
        <f t="shared" si="50"/>
        <v>6351261</v>
      </c>
      <c r="G118" s="483">
        <f t="shared" si="51"/>
        <v>6501998.5</v>
      </c>
      <c r="H118" s="484">
        <f t="shared" si="52"/>
        <v>1044179.1276260063</v>
      </c>
      <c r="I118" s="540">
        <f t="shared" si="53"/>
        <v>1044179.1276260063</v>
      </c>
      <c r="J118" s="476">
        <f t="shared" si="30"/>
        <v>0</v>
      </c>
      <c r="K118" s="476"/>
      <c r="L118" s="485"/>
      <c r="M118" s="476">
        <f t="shared" si="32"/>
        <v>0</v>
      </c>
      <c r="N118" s="485"/>
      <c r="O118" s="476">
        <f t="shared" si="34"/>
        <v>0</v>
      </c>
      <c r="P118" s="476">
        <f t="shared" si="35"/>
        <v>0</v>
      </c>
    </row>
    <row r="119" spans="2:16" ht="12.5">
      <c r="B119" s="160" t="str">
        <f t="shared" si="36"/>
        <v/>
      </c>
      <c r="C119" s="470">
        <f>IF(D93="","-",+C118+1)</f>
        <v>2029</v>
      </c>
      <c r="D119" s="345">
        <f>IF(F118+SUM(E$99:E118)=D$92,F118,D$92-SUM(E$99:E118))</f>
        <v>6351261</v>
      </c>
      <c r="E119" s="484">
        <f>IF(+J96&lt;F118,J96,D119)</f>
        <v>301475</v>
      </c>
      <c r="F119" s="483">
        <f t="shared" si="50"/>
        <v>6049786</v>
      </c>
      <c r="G119" s="483">
        <f t="shared" si="51"/>
        <v>6200523.5</v>
      </c>
      <c r="H119" s="484">
        <f t="shared" si="52"/>
        <v>1009742.5268061121</v>
      </c>
      <c r="I119" s="540">
        <f t="shared" si="53"/>
        <v>1009742.5268061121</v>
      </c>
      <c r="J119" s="476">
        <f t="shared" si="30"/>
        <v>0</v>
      </c>
      <c r="K119" s="476"/>
      <c r="L119" s="485"/>
      <c r="M119" s="476">
        <f t="shared" si="32"/>
        <v>0</v>
      </c>
      <c r="N119" s="485"/>
      <c r="O119" s="476">
        <f t="shared" si="34"/>
        <v>0</v>
      </c>
      <c r="P119" s="476">
        <f t="shared" si="35"/>
        <v>0</v>
      </c>
    </row>
    <row r="120" spans="2:16" ht="12.5">
      <c r="B120" s="160" t="str">
        <f t="shared" si="36"/>
        <v/>
      </c>
      <c r="C120" s="470">
        <f>IF(D93="","-",+C119+1)</f>
        <v>2030</v>
      </c>
      <c r="D120" s="345">
        <f>IF(F119+SUM(E$99:E119)=D$92,F119,D$92-SUM(E$99:E119))</f>
        <v>6049786</v>
      </c>
      <c r="E120" s="484">
        <f>IF(+J96&lt;F119,J96,D120)</f>
        <v>301475</v>
      </c>
      <c r="F120" s="483">
        <f t="shared" si="50"/>
        <v>5748311</v>
      </c>
      <c r="G120" s="483">
        <f t="shared" si="51"/>
        <v>5899048.5</v>
      </c>
      <c r="H120" s="484">
        <f t="shared" si="52"/>
        <v>975305.92598621803</v>
      </c>
      <c r="I120" s="540">
        <f t="shared" si="53"/>
        <v>975305.92598621803</v>
      </c>
      <c r="J120" s="476">
        <f t="shared" si="30"/>
        <v>0</v>
      </c>
      <c r="K120" s="476"/>
      <c r="L120" s="485"/>
      <c r="M120" s="476">
        <f t="shared" si="32"/>
        <v>0</v>
      </c>
      <c r="N120" s="485"/>
      <c r="O120" s="476">
        <f t="shared" si="34"/>
        <v>0</v>
      </c>
      <c r="P120" s="476">
        <f t="shared" si="35"/>
        <v>0</v>
      </c>
    </row>
    <row r="121" spans="2:16" ht="12.5">
      <c r="B121" s="160" t="str">
        <f t="shared" si="36"/>
        <v/>
      </c>
      <c r="C121" s="470">
        <f>IF(D93="","-",+C120+1)</f>
        <v>2031</v>
      </c>
      <c r="D121" s="345">
        <f>IF(F120+SUM(E$99:E120)=D$92,F120,D$92-SUM(E$99:E120))</f>
        <v>5748311</v>
      </c>
      <c r="E121" s="484">
        <f>IF(+J96&lt;F120,J96,D121)</f>
        <v>301475</v>
      </c>
      <c r="F121" s="483">
        <f t="shared" si="50"/>
        <v>5446836</v>
      </c>
      <c r="G121" s="483">
        <f t="shared" si="51"/>
        <v>5597573.5</v>
      </c>
      <c r="H121" s="484">
        <f t="shared" si="52"/>
        <v>940869.32516632392</v>
      </c>
      <c r="I121" s="540">
        <f t="shared" si="53"/>
        <v>940869.32516632392</v>
      </c>
      <c r="J121" s="476">
        <f t="shared" si="30"/>
        <v>0</v>
      </c>
      <c r="K121" s="476"/>
      <c r="L121" s="485"/>
      <c r="M121" s="476">
        <f t="shared" si="32"/>
        <v>0</v>
      </c>
      <c r="N121" s="485"/>
      <c r="O121" s="476">
        <f t="shared" si="34"/>
        <v>0</v>
      </c>
      <c r="P121" s="476">
        <f t="shared" si="35"/>
        <v>0</v>
      </c>
    </row>
    <row r="122" spans="2:16" ht="12.5">
      <c r="B122" s="160" t="str">
        <f t="shared" si="36"/>
        <v/>
      </c>
      <c r="C122" s="470">
        <f>IF(D93="","-",+C121+1)</f>
        <v>2032</v>
      </c>
      <c r="D122" s="345">
        <f>IF(F121+SUM(E$99:E121)=D$92,F121,D$92-SUM(E$99:E121))</f>
        <v>5446836</v>
      </c>
      <c r="E122" s="484">
        <f>IF(+J96&lt;F121,J96,D122)</f>
        <v>301475</v>
      </c>
      <c r="F122" s="483">
        <f t="shared" si="50"/>
        <v>5145361</v>
      </c>
      <c r="G122" s="483">
        <f t="shared" si="51"/>
        <v>5296098.5</v>
      </c>
      <c r="H122" s="484">
        <f t="shared" si="52"/>
        <v>906432.72434642981</v>
      </c>
      <c r="I122" s="540">
        <f t="shared" si="53"/>
        <v>906432.72434642981</v>
      </c>
      <c r="J122" s="476">
        <f t="shared" si="30"/>
        <v>0</v>
      </c>
      <c r="K122" s="476"/>
      <c r="L122" s="485"/>
      <c r="M122" s="476">
        <f t="shared" si="32"/>
        <v>0</v>
      </c>
      <c r="N122" s="485"/>
      <c r="O122" s="476">
        <f t="shared" si="34"/>
        <v>0</v>
      </c>
      <c r="P122" s="476">
        <f t="shared" si="35"/>
        <v>0</v>
      </c>
    </row>
    <row r="123" spans="2:16" ht="12.5">
      <c r="B123" s="160" t="str">
        <f t="shared" si="36"/>
        <v/>
      </c>
      <c r="C123" s="470">
        <f>IF(D93="","-",+C122+1)</f>
        <v>2033</v>
      </c>
      <c r="D123" s="345">
        <f>IF(F122+SUM(E$99:E122)=D$92,F122,D$92-SUM(E$99:E122))</f>
        <v>5145361</v>
      </c>
      <c r="E123" s="484">
        <f>IF(+J96&lt;F122,J96,D123)</f>
        <v>301475</v>
      </c>
      <c r="F123" s="483">
        <f t="shared" si="50"/>
        <v>4843886</v>
      </c>
      <c r="G123" s="483">
        <f t="shared" si="51"/>
        <v>4994623.5</v>
      </c>
      <c r="H123" s="484">
        <f t="shared" si="52"/>
        <v>871996.1235265357</v>
      </c>
      <c r="I123" s="540">
        <f t="shared" si="53"/>
        <v>871996.1235265357</v>
      </c>
      <c r="J123" s="476">
        <f t="shared" si="30"/>
        <v>0</v>
      </c>
      <c r="K123" s="476"/>
      <c r="L123" s="485"/>
      <c r="M123" s="476">
        <f t="shared" si="32"/>
        <v>0</v>
      </c>
      <c r="N123" s="485"/>
      <c r="O123" s="476">
        <f t="shared" si="34"/>
        <v>0</v>
      </c>
      <c r="P123" s="476">
        <f t="shared" si="35"/>
        <v>0</v>
      </c>
    </row>
    <row r="124" spans="2:16" ht="12.5">
      <c r="B124" s="160" t="str">
        <f t="shared" si="36"/>
        <v/>
      </c>
      <c r="C124" s="470">
        <f>IF(D93="","-",+C123+1)</f>
        <v>2034</v>
      </c>
      <c r="D124" s="345">
        <f>IF(F123+SUM(E$99:E123)=D$92,F123,D$92-SUM(E$99:E123))</f>
        <v>4843886</v>
      </c>
      <c r="E124" s="484">
        <f>IF(+J96&lt;F123,J96,D124)</f>
        <v>301475</v>
      </c>
      <c r="F124" s="483">
        <f t="shared" si="50"/>
        <v>4542411</v>
      </c>
      <c r="G124" s="483">
        <f t="shared" si="51"/>
        <v>4693148.5</v>
      </c>
      <c r="H124" s="484">
        <f t="shared" si="52"/>
        <v>837559.52270664158</v>
      </c>
      <c r="I124" s="540">
        <f t="shared" si="53"/>
        <v>837559.52270664158</v>
      </c>
      <c r="J124" s="476">
        <f t="shared" si="30"/>
        <v>0</v>
      </c>
      <c r="K124" s="476"/>
      <c r="L124" s="485"/>
      <c r="M124" s="476">
        <f t="shared" si="32"/>
        <v>0</v>
      </c>
      <c r="N124" s="485"/>
      <c r="O124" s="476">
        <f t="shared" si="34"/>
        <v>0</v>
      </c>
      <c r="P124" s="476">
        <f t="shared" si="35"/>
        <v>0</v>
      </c>
    </row>
    <row r="125" spans="2:16" ht="12.5">
      <c r="B125" s="160" t="str">
        <f t="shared" si="36"/>
        <v/>
      </c>
      <c r="C125" s="470">
        <f>IF(D93="","-",+C124+1)</f>
        <v>2035</v>
      </c>
      <c r="D125" s="345">
        <f>IF(F124+SUM(E$99:E124)=D$92,F124,D$92-SUM(E$99:E124))</f>
        <v>4542411</v>
      </c>
      <c r="E125" s="484">
        <f>IF(+J96&lt;F124,J96,D125)</f>
        <v>301475</v>
      </c>
      <c r="F125" s="483">
        <f t="shared" si="50"/>
        <v>4240936</v>
      </c>
      <c r="G125" s="483">
        <f t="shared" si="51"/>
        <v>4391673.5</v>
      </c>
      <c r="H125" s="484">
        <f t="shared" si="52"/>
        <v>803122.92188674747</v>
      </c>
      <c r="I125" s="540">
        <f t="shared" si="53"/>
        <v>803122.92188674747</v>
      </c>
      <c r="J125" s="476">
        <f t="shared" si="30"/>
        <v>0</v>
      </c>
      <c r="K125" s="476"/>
      <c r="L125" s="485"/>
      <c r="M125" s="476">
        <f t="shared" si="32"/>
        <v>0</v>
      </c>
      <c r="N125" s="485"/>
      <c r="O125" s="476">
        <f t="shared" si="34"/>
        <v>0</v>
      </c>
      <c r="P125" s="476">
        <f t="shared" si="35"/>
        <v>0</v>
      </c>
    </row>
    <row r="126" spans="2:16" ht="12.5">
      <c r="B126" s="160" t="str">
        <f t="shared" si="36"/>
        <v/>
      </c>
      <c r="C126" s="470">
        <f>IF(D93="","-",+C125+1)</f>
        <v>2036</v>
      </c>
      <c r="D126" s="345">
        <f>IF(F125+SUM(E$99:E125)=D$92,F125,D$92-SUM(E$99:E125))</f>
        <v>4240936</v>
      </c>
      <c r="E126" s="484">
        <f>IF(+J96&lt;F125,J96,D126)</f>
        <v>301475</v>
      </c>
      <c r="F126" s="483">
        <f t="shared" si="50"/>
        <v>3939461</v>
      </c>
      <c r="G126" s="483">
        <f t="shared" si="51"/>
        <v>4090198.5</v>
      </c>
      <c r="H126" s="484">
        <f t="shared" si="52"/>
        <v>768686.32106685336</v>
      </c>
      <c r="I126" s="540">
        <f t="shared" si="53"/>
        <v>768686.32106685336</v>
      </c>
      <c r="J126" s="476">
        <f t="shared" si="30"/>
        <v>0</v>
      </c>
      <c r="K126" s="476"/>
      <c r="L126" s="485"/>
      <c r="M126" s="476">
        <f t="shared" si="32"/>
        <v>0</v>
      </c>
      <c r="N126" s="485"/>
      <c r="O126" s="476">
        <f t="shared" si="34"/>
        <v>0</v>
      </c>
      <c r="P126" s="476">
        <f t="shared" si="35"/>
        <v>0</v>
      </c>
    </row>
    <row r="127" spans="2:16" ht="12.5">
      <c r="B127" s="160" t="str">
        <f t="shared" si="36"/>
        <v/>
      </c>
      <c r="C127" s="470">
        <f>IF(D93="","-",+C126+1)</f>
        <v>2037</v>
      </c>
      <c r="D127" s="345">
        <f>IF(F126+SUM(E$99:E126)=D$92,F126,D$92-SUM(E$99:E126))</f>
        <v>3939461</v>
      </c>
      <c r="E127" s="484">
        <f>IF(+J96&lt;F126,J96,D127)</f>
        <v>301475</v>
      </c>
      <c r="F127" s="483">
        <f t="shared" si="50"/>
        <v>3637986</v>
      </c>
      <c r="G127" s="483">
        <f t="shared" si="51"/>
        <v>3788723.5</v>
      </c>
      <c r="H127" s="484">
        <f t="shared" si="52"/>
        <v>734249.72024695924</v>
      </c>
      <c r="I127" s="540">
        <f t="shared" si="53"/>
        <v>734249.72024695924</v>
      </c>
      <c r="J127" s="476">
        <f t="shared" si="30"/>
        <v>0</v>
      </c>
      <c r="K127" s="476"/>
      <c r="L127" s="485"/>
      <c r="M127" s="476">
        <f t="shared" si="32"/>
        <v>0</v>
      </c>
      <c r="N127" s="485"/>
      <c r="O127" s="476">
        <f t="shared" si="34"/>
        <v>0</v>
      </c>
      <c r="P127" s="476">
        <f t="shared" si="35"/>
        <v>0</v>
      </c>
    </row>
    <row r="128" spans="2:16" ht="12.5">
      <c r="B128" s="160" t="str">
        <f t="shared" si="36"/>
        <v/>
      </c>
      <c r="C128" s="470">
        <f>IF(D93="","-",+C127+1)</f>
        <v>2038</v>
      </c>
      <c r="D128" s="345">
        <f>IF(F127+SUM(E$99:E127)=D$92,F127,D$92-SUM(E$99:E127))</f>
        <v>3637986</v>
      </c>
      <c r="E128" s="484">
        <f>IF(+J96&lt;F127,J96,D128)</f>
        <v>301475</v>
      </c>
      <c r="F128" s="483">
        <f t="shared" si="50"/>
        <v>3336511</v>
      </c>
      <c r="G128" s="483">
        <f t="shared" si="51"/>
        <v>3487248.5</v>
      </c>
      <c r="H128" s="484">
        <f t="shared" si="52"/>
        <v>699813.11942706513</v>
      </c>
      <c r="I128" s="540">
        <f t="shared" si="53"/>
        <v>699813.11942706513</v>
      </c>
      <c r="J128" s="476">
        <f t="shared" si="30"/>
        <v>0</v>
      </c>
      <c r="K128" s="476"/>
      <c r="L128" s="485"/>
      <c r="M128" s="476">
        <f t="shared" si="32"/>
        <v>0</v>
      </c>
      <c r="N128" s="485"/>
      <c r="O128" s="476">
        <f t="shared" si="34"/>
        <v>0</v>
      </c>
      <c r="P128" s="476">
        <f t="shared" si="35"/>
        <v>0</v>
      </c>
    </row>
    <row r="129" spans="2:16" ht="12.5">
      <c r="B129" s="160" t="str">
        <f t="shared" si="36"/>
        <v/>
      </c>
      <c r="C129" s="470">
        <f>IF(D93="","-",+C128+1)</f>
        <v>2039</v>
      </c>
      <c r="D129" s="345">
        <f>IF(F128+SUM(E$99:E128)=D$92,F128,D$92-SUM(E$99:E128))</f>
        <v>3336511</v>
      </c>
      <c r="E129" s="484">
        <f>IF(+J96&lt;F128,J96,D129)</f>
        <v>301475</v>
      </c>
      <c r="F129" s="483">
        <f t="shared" si="50"/>
        <v>3035036</v>
      </c>
      <c r="G129" s="483">
        <f t="shared" si="51"/>
        <v>3185773.5</v>
      </c>
      <c r="H129" s="484">
        <f t="shared" si="52"/>
        <v>665376.51860717102</v>
      </c>
      <c r="I129" s="540">
        <f t="shared" si="53"/>
        <v>665376.51860717102</v>
      </c>
      <c r="J129" s="476">
        <f t="shared" si="30"/>
        <v>0</v>
      </c>
      <c r="K129" s="476"/>
      <c r="L129" s="485"/>
      <c r="M129" s="476">
        <f t="shared" si="32"/>
        <v>0</v>
      </c>
      <c r="N129" s="485"/>
      <c r="O129" s="476">
        <f t="shared" si="34"/>
        <v>0</v>
      </c>
      <c r="P129" s="476">
        <f t="shared" si="35"/>
        <v>0</v>
      </c>
    </row>
    <row r="130" spans="2:16" ht="12.5">
      <c r="B130" s="160" t="str">
        <f t="shared" si="36"/>
        <v/>
      </c>
      <c r="C130" s="470">
        <f>IF(D93="","-",+C129+1)</f>
        <v>2040</v>
      </c>
      <c r="D130" s="345">
        <f>IF(F129+SUM(E$99:E129)=D$92,F129,D$92-SUM(E$99:E129))</f>
        <v>3035036</v>
      </c>
      <c r="E130" s="484">
        <f>IF(+J96&lt;F129,J96,D130)</f>
        <v>301475</v>
      </c>
      <c r="F130" s="483">
        <f t="shared" si="50"/>
        <v>2733561</v>
      </c>
      <c r="G130" s="483">
        <f t="shared" si="51"/>
        <v>2884298.5</v>
      </c>
      <c r="H130" s="484">
        <f t="shared" si="52"/>
        <v>630939.91778727691</v>
      </c>
      <c r="I130" s="540">
        <f t="shared" si="53"/>
        <v>630939.91778727691</v>
      </c>
      <c r="J130" s="476">
        <f t="shared" si="30"/>
        <v>0</v>
      </c>
      <c r="K130" s="476"/>
      <c r="L130" s="485"/>
      <c r="M130" s="476">
        <f t="shared" si="32"/>
        <v>0</v>
      </c>
      <c r="N130" s="485"/>
      <c r="O130" s="476">
        <f t="shared" si="34"/>
        <v>0</v>
      </c>
      <c r="P130" s="476">
        <f t="shared" si="35"/>
        <v>0</v>
      </c>
    </row>
    <row r="131" spans="2:16" ht="12.5">
      <c r="B131" s="160" t="str">
        <f t="shared" si="36"/>
        <v/>
      </c>
      <c r="C131" s="470">
        <f>IF(D93="","-",+C130+1)</f>
        <v>2041</v>
      </c>
      <c r="D131" s="345">
        <f>IF(F130+SUM(E$99:E130)=D$92,F130,D$92-SUM(E$99:E130))</f>
        <v>2733561</v>
      </c>
      <c r="E131" s="484">
        <f>IF(+J96&lt;F130,J96,D131)</f>
        <v>301475</v>
      </c>
      <c r="F131" s="483">
        <f t="shared" ref="F131:F154" si="54">+D131-E131</f>
        <v>2432086</v>
      </c>
      <c r="G131" s="483">
        <f t="shared" ref="G131:G154" si="55">+(F131+D131)/2</f>
        <v>2582823.5</v>
      </c>
      <c r="H131" s="484">
        <f t="shared" si="52"/>
        <v>596503.31696738291</v>
      </c>
      <c r="I131" s="540">
        <f t="shared" si="53"/>
        <v>596503.31696738291</v>
      </c>
      <c r="J131" s="476">
        <f t="shared" ref="J131:J154" si="56">+I131-H131</f>
        <v>0</v>
      </c>
      <c r="K131" s="476"/>
      <c r="L131" s="485"/>
      <c r="M131" s="476">
        <f t="shared" ref="M131:M154" si="57">IF(L131&lt;&gt;0,+H131-L131,0)</f>
        <v>0</v>
      </c>
      <c r="N131" s="485"/>
      <c r="O131" s="476">
        <f t="shared" ref="O131:O154" si="58">IF(N131&lt;&gt;0,+I131-N131,0)</f>
        <v>0</v>
      </c>
      <c r="P131" s="476">
        <f t="shared" ref="P131:P154" si="59">+O131-M131</f>
        <v>0</v>
      </c>
    </row>
    <row r="132" spans="2:16" ht="12.5">
      <c r="B132" s="160" t="str">
        <f t="shared" si="36"/>
        <v/>
      </c>
      <c r="C132" s="470">
        <f>IF(D93="","-",+C131+1)</f>
        <v>2042</v>
      </c>
      <c r="D132" s="345">
        <f>IF(F131+SUM(E$99:E131)=D$92,F131,D$92-SUM(E$99:E131))</f>
        <v>2432086</v>
      </c>
      <c r="E132" s="484">
        <f>IF(+J96&lt;F131,J96,D132)</f>
        <v>301475</v>
      </c>
      <c r="F132" s="483">
        <f t="shared" si="54"/>
        <v>2130611</v>
      </c>
      <c r="G132" s="483">
        <f t="shared" si="55"/>
        <v>2281348.5</v>
      </c>
      <c r="H132" s="484">
        <f t="shared" si="52"/>
        <v>562066.7161474888</v>
      </c>
      <c r="I132" s="540">
        <f t="shared" si="53"/>
        <v>562066.7161474888</v>
      </c>
      <c r="J132" s="476">
        <f t="shared" si="56"/>
        <v>0</v>
      </c>
      <c r="K132" s="476"/>
      <c r="L132" s="485"/>
      <c r="M132" s="476">
        <f t="shared" si="57"/>
        <v>0</v>
      </c>
      <c r="N132" s="485"/>
      <c r="O132" s="476">
        <f t="shared" si="58"/>
        <v>0</v>
      </c>
      <c r="P132" s="476">
        <f t="shared" si="59"/>
        <v>0</v>
      </c>
    </row>
    <row r="133" spans="2:16" ht="12.5">
      <c r="B133" s="160" t="str">
        <f t="shared" si="36"/>
        <v/>
      </c>
      <c r="C133" s="470">
        <f>IF(D93="","-",+C132+1)</f>
        <v>2043</v>
      </c>
      <c r="D133" s="345">
        <f>IF(F132+SUM(E$99:E132)=D$92,F132,D$92-SUM(E$99:E132))</f>
        <v>2130611</v>
      </c>
      <c r="E133" s="484">
        <f>IF(+J96&lt;F132,J96,D133)</f>
        <v>301475</v>
      </c>
      <c r="F133" s="483">
        <f t="shared" si="54"/>
        <v>1829136</v>
      </c>
      <c r="G133" s="483">
        <f t="shared" si="55"/>
        <v>1979873.5</v>
      </c>
      <c r="H133" s="484">
        <f t="shared" si="52"/>
        <v>527630.11532759469</v>
      </c>
      <c r="I133" s="540">
        <f t="shared" si="53"/>
        <v>527630.11532759469</v>
      </c>
      <c r="J133" s="476">
        <f t="shared" si="56"/>
        <v>0</v>
      </c>
      <c r="K133" s="476"/>
      <c r="L133" s="485"/>
      <c r="M133" s="476">
        <f t="shared" si="57"/>
        <v>0</v>
      </c>
      <c r="N133" s="485"/>
      <c r="O133" s="476">
        <f t="shared" si="58"/>
        <v>0</v>
      </c>
      <c r="P133" s="476">
        <f t="shared" si="59"/>
        <v>0</v>
      </c>
    </row>
    <row r="134" spans="2:16" ht="12.5">
      <c r="B134" s="160" t="str">
        <f t="shared" si="36"/>
        <v/>
      </c>
      <c r="C134" s="470">
        <f>IF(D93="","-",+C133+1)</f>
        <v>2044</v>
      </c>
      <c r="D134" s="345">
        <f>IF(F133+SUM(E$99:E133)=D$92,F133,D$92-SUM(E$99:E133))</f>
        <v>1829136</v>
      </c>
      <c r="E134" s="484">
        <f>IF(+J96&lt;F133,J96,D134)</f>
        <v>301475</v>
      </c>
      <c r="F134" s="483">
        <f t="shared" si="54"/>
        <v>1527661</v>
      </c>
      <c r="G134" s="483">
        <f t="shared" si="55"/>
        <v>1678398.5</v>
      </c>
      <c r="H134" s="484">
        <f t="shared" si="52"/>
        <v>493193.51450770057</v>
      </c>
      <c r="I134" s="540">
        <f t="shared" si="53"/>
        <v>493193.51450770057</v>
      </c>
      <c r="J134" s="476">
        <f t="shared" si="56"/>
        <v>0</v>
      </c>
      <c r="K134" s="476"/>
      <c r="L134" s="485"/>
      <c r="M134" s="476">
        <f t="shared" si="57"/>
        <v>0</v>
      </c>
      <c r="N134" s="485"/>
      <c r="O134" s="476">
        <f t="shared" si="58"/>
        <v>0</v>
      </c>
      <c r="P134" s="476">
        <f t="shared" si="59"/>
        <v>0</v>
      </c>
    </row>
    <row r="135" spans="2:16" ht="12.5">
      <c r="B135" s="160" t="str">
        <f t="shared" si="36"/>
        <v/>
      </c>
      <c r="C135" s="470">
        <f>IF(D93="","-",+C134+1)</f>
        <v>2045</v>
      </c>
      <c r="D135" s="345">
        <f>IF(F134+SUM(E$99:E134)=D$92,F134,D$92-SUM(E$99:E134))</f>
        <v>1527661</v>
      </c>
      <c r="E135" s="484">
        <f>IF(+J96&lt;F134,J96,D135)</f>
        <v>301475</v>
      </c>
      <c r="F135" s="483">
        <f t="shared" si="54"/>
        <v>1226186</v>
      </c>
      <c r="G135" s="483">
        <f t="shared" si="55"/>
        <v>1376923.5</v>
      </c>
      <c r="H135" s="484">
        <f t="shared" si="52"/>
        <v>458756.91368780646</v>
      </c>
      <c r="I135" s="540">
        <f t="shared" si="53"/>
        <v>458756.91368780646</v>
      </c>
      <c r="J135" s="476">
        <f t="shared" si="56"/>
        <v>0</v>
      </c>
      <c r="K135" s="476"/>
      <c r="L135" s="485"/>
      <c r="M135" s="476">
        <f t="shared" si="57"/>
        <v>0</v>
      </c>
      <c r="N135" s="485"/>
      <c r="O135" s="476">
        <f t="shared" si="58"/>
        <v>0</v>
      </c>
      <c r="P135" s="476">
        <f t="shared" si="59"/>
        <v>0</v>
      </c>
    </row>
    <row r="136" spans="2:16" ht="12.5">
      <c r="B136" s="160" t="str">
        <f t="shared" si="36"/>
        <v/>
      </c>
      <c r="C136" s="470">
        <f>IF(D93="","-",+C135+1)</f>
        <v>2046</v>
      </c>
      <c r="D136" s="345">
        <f>IF(F135+SUM(E$99:E135)=D$92,F135,D$92-SUM(E$99:E135))</f>
        <v>1226186</v>
      </c>
      <c r="E136" s="484">
        <f>IF(+J96&lt;F135,J96,D136)</f>
        <v>301475</v>
      </c>
      <c r="F136" s="483">
        <f t="shared" si="54"/>
        <v>924711</v>
      </c>
      <c r="G136" s="483">
        <f t="shared" si="55"/>
        <v>1075448.5</v>
      </c>
      <c r="H136" s="484">
        <f t="shared" si="52"/>
        <v>424320.31286791235</v>
      </c>
      <c r="I136" s="540">
        <f t="shared" si="53"/>
        <v>424320.31286791235</v>
      </c>
      <c r="J136" s="476">
        <f t="shared" si="56"/>
        <v>0</v>
      </c>
      <c r="K136" s="476"/>
      <c r="L136" s="485"/>
      <c r="M136" s="476">
        <f t="shared" si="57"/>
        <v>0</v>
      </c>
      <c r="N136" s="485"/>
      <c r="O136" s="476">
        <f t="shared" si="58"/>
        <v>0</v>
      </c>
      <c r="P136" s="476">
        <f t="shared" si="59"/>
        <v>0</v>
      </c>
    </row>
    <row r="137" spans="2:16" ht="12.5">
      <c r="B137" s="160" t="str">
        <f t="shared" si="36"/>
        <v/>
      </c>
      <c r="C137" s="470">
        <f>IF(D93="","-",+C136+1)</f>
        <v>2047</v>
      </c>
      <c r="D137" s="345">
        <f>IF(F136+SUM(E$99:E136)=D$92,F136,D$92-SUM(E$99:E136))</f>
        <v>924711</v>
      </c>
      <c r="E137" s="484">
        <f>IF(+J96&lt;F136,J96,D137)</f>
        <v>301475</v>
      </c>
      <c r="F137" s="483">
        <f t="shared" si="54"/>
        <v>623236</v>
      </c>
      <c r="G137" s="483">
        <f t="shared" si="55"/>
        <v>773973.5</v>
      </c>
      <c r="H137" s="484">
        <f t="shared" si="52"/>
        <v>389883.71204801823</v>
      </c>
      <c r="I137" s="540">
        <f t="shared" si="53"/>
        <v>389883.71204801823</v>
      </c>
      <c r="J137" s="476">
        <f t="shared" si="56"/>
        <v>0</v>
      </c>
      <c r="K137" s="476"/>
      <c r="L137" s="485"/>
      <c r="M137" s="476">
        <f t="shared" si="57"/>
        <v>0</v>
      </c>
      <c r="N137" s="485"/>
      <c r="O137" s="476">
        <f t="shared" si="58"/>
        <v>0</v>
      </c>
      <c r="P137" s="476">
        <f t="shared" si="59"/>
        <v>0</v>
      </c>
    </row>
    <row r="138" spans="2:16" ht="12.5">
      <c r="B138" s="160" t="str">
        <f t="shared" si="36"/>
        <v/>
      </c>
      <c r="C138" s="470">
        <f>IF(D93="","-",+C137+1)</f>
        <v>2048</v>
      </c>
      <c r="D138" s="345">
        <f>IF(F137+SUM(E$99:E137)=D$92,F137,D$92-SUM(E$99:E137))</f>
        <v>623236</v>
      </c>
      <c r="E138" s="484">
        <f>IF(+J96&lt;F137,J96,D138)</f>
        <v>301475</v>
      </c>
      <c r="F138" s="483">
        <f t="shared" si="54"/>
        <v>321761</v>
      </c>
      <c r="G138" s="483">
        <f t="shared" si="55"/>
        <v>472498.5</v>
      </c>
      <c r="H138" s="484">
        <f t="shared" si="52"/>
        <v>355447.11122812418</v>
      </c>
      <c r="I138" s="540">
        <f t="shared" si="53"/>
        <v>355447.11122812418</v>
      </c>
      <c r="J138" s="476">
        <f t="shared" si="56"/>
        <v>0</v>
      </c>
      <c r="K138" s="476"/>
      <c r="L138" s="485"/>
      <c r="M138" s="476">
        <f t="shared" si="57"/>
        <v>0</v>
      </c>
      <c r="N138" s="485"/>
      <c r="O138" s="476">
        <f t="shared" si="58"/>
        <v>0</v>
      </c>
      <c r="P138" s="476">
        <f t="shared" si="59"/>
        <v>0</v>
      </c>
    </row>
    <row r="139" spans="2:16" ht="12.5">
      <c r="B139" s="160" t="str">
        <f t="shared" si="36"/>
        <v/>
      </c>
      <c r="C139" s="470">
        <f>IF(D93="","-",+C138+1)</f>
        <v>2049</v>
      </c>
      <c r="D139" s="345">
        <f>IF(F138+SUM(E$99:E138)=D$92,F138,D$92-SUM(E$99:E138))</f>
        <v>321761</v>
      </c>
      <c r="E139" s="484">
        <f>IF(+J96&lt;F138,J96,D139)</f>
        <v>301475</v>
      </c>
      <c r="F139" s="483">
        <f t="shared" si="54"/>
        <v>20286</v>
      </c>
      <c r="G139" s="483">
        <f t="shared" si="55"/>
        <v>171023.5</v>
      </c>
      <c r="H139" s="484">
        <f t="shared" si="52"/>
        <v>321010.51040823007</v>
      </c>
      <c r="I139" s="540">
        <f t="shared" si="53"/>
        <v>321010.51040823007</v>
      </c>
      <c r="J139" s="476">
        <f t="shared" si="56"/>
        <v>0</v>
      </c>
      <c r="K139" s="476"/>
      <c r="L139" s="485"/>
      <c r="M139" s="476">
        <f t="shared" si="57"/>
        <v>0</v>
      </c>
      <c r="N139" s="485"/>
      <c r="O139" s="476">
        <f t="shared" si="58"/>
        <v>0</v>
      </c>
      <c r="P139" s="476">
        <f t="shared" si="59"/>
        <v>0</v>
      </c>
    </row>
    <row r="140" spans="2:16" ht="12.5">
      <c r="B140" s="160" t="str">
        <f t="shared" si="36"/>
        <v/>
      </c>
      <c r="C140" s="470">
        <f>IF(D93="","-",+C139+1)</f>
        <v>2050</v>
      </c>
      <c r="D140" s="345">
        <f>IF(F139+SUM(E$99:E139)=D$92,F139,D$92-SUM(E$99:E139))</f>
        <v>20286</v>
      </c>
      <c r="E140" s="484">
        <f>IF(+J96&lt;F139,J96,D140)</f>
        <v>20286</v>
      </c>
      <c r="F140" s="483">
        <f t="shared" si="54"/>
        <v>0</v>
      </c>
      <c r="G140" s="483">
        <f t="shared" si="55"/>
        <v>10143</v>
      </c>
      <c r="H140" s="484">
        <f t="shared" si="52"/>
        <v>21444.604999141506</v>
      </c>
      <c r="I140" s="540">
        <f t="shared" si="53"/>
        <v>21444.604999141506</v>
      </c>
      <c r="J140" s="476">
        <f t="shared" si="56"/>
        <v>0</v>
      </c>
      <c r="K140" s="476"/>
      <c r="L140" s="485"/>
      <c r="M140" s="476">
        <f t="shared" si="57"/>
        <v>0</v>
      </c>
      <c r="N140" s="485"/>
      <c r="O140" s="476">
        <f t="shared" si="58"/>
        <v>0</v>
      </c>
      <c r="P140" s="476">
        <f t="shared" si="59"/>
        <v>0</v>
      </c>
    </row>
    <row r="141" spans="2:16" ht="12.5">
      <c r="B141" s="160" t="str">
        <f t="shared" si="36"/>
        <v/>
      </c>
      <c r="C141" s="470">
        <f>IF(D93="","-",+C140+1)</f>
        <v>2051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54"/>
        <v>0</v>
      </c>
      <c r="G141" s="483">
        <f t="shared" si="55"/>
        <v>0</v>
      </c>
      <c r="H141" s="484">
        <f t="shared" si="52"/>
        <v>0</v>
      </c>
      <c r="I141" s="540">
        <f t="shared" si="53"/>
        <v>0</v>
      </c>
      <c r="J141" s="476">
        <f t="shared" si="56"/>
        <v>0</v>
      </c>
      <c r="K141" s="476"/>
      <c r="L141" s="485"/>
      <c r="M141" s="476">
        <f t="shared" si="57"/>
        <v>0</v>
      </c>
      <c r="N141" s="485"/>
      <c r="O141" s="476">
        <f t="shared" si="58"/>
        <v>0</v>
      </c>
      <c r="P141" s="476">
        <f t="shared" si="59"/>
        <v>0</v>
      </c>
    </row>
    <row r="142" spans="2:16" ht="12.5">
      <c r="B142" s="160" t="str">
        <f t="shared" si="36"/>
        <v/>
      </c>
      <c r="C142" s="470">
        <f>IF(D93="","-",+C141+1)</f>
        <v>2052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54"/>
        <v>0</v>
      </c>
      <c r="G142" s="483">
        <f t="shared" si="55"/>
        <v>0</v>
      </c>
      <c r="H142" s="484">
        <f t="shared" si="52"/>
        <v>0</v>
      </c>
      <c r="I142" s="540">
        <f t="shared" si="53"/>
        <v>0</v>
      </c>
      <c r="J142" s="476">
        <f t="shared" si="56"/>
        <v>0</v>
      </c>
      <c r="K142" s="476"/>
      <c r="L142" s="485"/>
      <c r="M142" s="476">
        <f t="shared" si="57"/>
        <v>0</v>
      </c>
      <c r="N142" s="485"/>
      <c r="O142" s="476">
        <f t="shared" si="58"/>
        <v>0</v>
      </c>
      <c r="P142" s="476">
        <f t="shared" si="59"/>
        <v>0</v>
      </c>
    </row>
    <row r="143" spans="2:16" ht="12.5">
      <c r="B143" s="160" t="str">
        <f t="shared" si="36"/>
        <v/>
      </c>
      <c r="C143" s="470">
        <f>IF(D93="","-",+C142+1)</f>
        <v>2053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4"/>
        <v>0</v>
      </c>
      <c r="G143" s="483">
        <f t="shared" si="55"/>
        <v>0</v>
      </c>
      <c r="H143" s="484">
        <f t="shared" si="52"/>
        <v>0</v>
      </c>
      <c r="I143" s="540">
        <f t="shared" si="53"/>
        <v>0</v>
      </c>
      <c r="J143" s="476">
        <f t="shared" si="56"/>
        <v>0</v>
      </c>
      <c r="K143" s="476"/>
      <c r="L143" s="485"/>
      <c r="M143" s="476">
        <f t="shared" si="57"/>
        <v>0</v>
      </c>
      <c r="N143" s="485"/>
      <c r="O143" s="476">
        <f t="shared" si="58"/>
        <v>0</v>
      </c>
      <c r="P143" s="476">
        <f t="shared" si="59"/>
        <v>0</v>
      </c>
    </row>
    <row r="144" spans="2:16" ht="12.5">
      <c r="B144" s="160" t="str">
        <f t="shared" si="36"/>
        <v/>
      </c>
      <c r="C144" s="470">
        <f>IF(D93="","-",+C143+1)</f>
        <v>2054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4"/>
        <v>0</v>
      </c>
      <c r="G144" s="483">
        <f t="shared" si="55"/>
        <v>0</v>
      </c>
      <c r="H144" s="484">
        <f t="shared" si="52"/>
        <v>0</v>
      </c>
      <c r="I144" s="540">
        <f t="shared" si="53"/>
        <v>0</v>
      </c>
      <c r="J144" s="476">
        <f t="shared" si="56"/>
        <v>0</v>
      </c>
      <c r="K144" s="476"/>
      <c r="L144" s="485"/>
      <c r="M144" s="476">
        <f t="shared" si="57"/>
        <v>0</v>
      </c>
      <c r="N144" s="485"/>
      <c r="O144" s="476">
        <f t="shared" si="58"/>
        <v>0</v>
      </c>
      <c r="P144" s="476">
        <f t="shared" si="59"/>
        <v>0</v>
      </c>
    </row>
    <row r="145" spans="2:16" ht="12.5">
      <c r="B145" s="160" t="str">
        <f t="shared" si="36"/>
        <v/>
      </c>
      <c r="C145" s="470">
        <f>IF(D93="","-",+C144+1)</f>
        <v>2055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4"/>
        <v>0</v>
      </c>
      <c r="G145" s="483">
        <f t="shared" si="55"/>
        <v>0</v>
      </c>
      <c r="H145" s="484">
        <f t="shared" si="52"/>
        <v>0</v>
      </c>
      <c r="I145" s="540">
        <f t="shared" si="53"/>
        <v>0</v>
      </c>
      <c r="J145" s="476">
        <f t="shared" si="56"/>
        <v>0</v>
      </c>
      <c r="K145" s="476"/>
      <c r="L145" s="485"/>
      <c r="M145" s="476">
        <f t="shared" si="57"/>
        <v>0</v>
      </c>
      <c r="N145" s="485"/>
      <c r="O145" s="476">
        <f t="shared" si="58"/>
        <v>0</v>
      </c>
      <c r="P145" s="476">
        <f t="shared" si="59"/>
        <v>0</v>
      </c>
    </row>
    <row r="146" spans="2:16" ht="12.5">
      <c r="B146" s="160" t="str">
        <f t="shared" si="36"/>
        <v/>
      </c>
      <c r="C146" s="470">
        <f>IF(D93="","-",+C145+1)</f>
        <v>2056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4"/>
        <v>0</v>
      </c>
      <c r="G146" s="483">
        <f t="shared" si="55"/>
        <v>0</v>
      </c>
      <c r="H146" s="484">
        <f t="shared" si="52"/>
        <v>0</v>
      </c>
      <c r="I146" s="540">
        <f t="shared" si="53"/>
        <v>0</v>
      </c>
      <c r="J146" s="476">
        <f t="shared" si="56"/>
        <v>0</v>
      </c>
      <c r="K146" s="476"/>
      <c r="L146" s="485"/>
      <c r="M146" s="476">
        <f t="shared" si="57"/>
        <v>0</v>
      </c>
      <c r="N146" s="485"/>
      <c r="O146" s="476">
        <f t="shared" si="58"/>
        <v>0</v>
      </c>
      <c r="P146" s="476">
        <f t="shared" si="59"/>
        <v>0</v>
      </c>
    </row>
    <row r="147" spans="2:16" ht="12.5">
      <c r="B147" s="160" t="str">
        <f t="shared" si="36"/>
        <v/>
      </c>
      <c r="C147" s="470">
        <f>IF(D93="","-",+C146+1)</f>
        <v>2057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4"/>
        <v>0</v>
      </c>
      <c r="G147" s="483">
        <f t="shared" si="55"/>
        <v>0</v>
      </c>
      <c r="H147" s="484">
        <f t="shared" si="52"/>
        <v>0</v>
      </c>
      <c r="I147" s="540">
        <f t="shared" si="53"/>
        <v>0</v>
      </c>
      <c r="J147" s="476">
        <f t="shared" si="56"/>
        <v>0</v>
      </c>
      <c r="K147" s="476"/>
      <c r="L147" s="485"/>
      <c r="M147" s="476">
        <f t="shared" si="57"/>
        <v>0</v>
      </c>
      <c r="N147" s="485"/>
      <c r="O147" s="476">
        <f t="shared" si="58"/>
        <v>0</v>
      </c>
      <c r="P147" s="476">
        <f t="shared" si="59"/>
        <v>0</v>
      </c>
    </row>
    <row r="148" spans="2:16" ht="12.5">
      <c r="B148" s="160" t="str">
        <f t="shared" si="36"/>
        <v/>
      </c>
      <c r="C148" s="470">
        <f>IF(D93="","-",+C147+1)</f>
        <v>2058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4"/>
        <v>0</v>
      </c>
      <c r="G148" s="483">
        <f t="shared" si="55"/>
        <v>0</v>
      </c>
      <c r="H148" s="484">
        <f t="shared" si="52"/>
        <v>0</v>
      </c>
      <c r="I148" s="540">
        <f t="shared" si="53"/>
        <v>0</v>
      </c>
      <c r="J148" s="476">
        <f t="shared" si="56"/>
        <v>0</v>
      </c>
      <c r="K148" s="476"/>
      <c r="L148" s="485"/>
      <c r="M148" s="476">
        <f t="shared" si="57"/>
        <v>0</v>
      </c>
      <c r="N148" s="485"/>
      <c r="O148" s="476">
        <f t="shared" si="58"/>
        <v>0</v>
      </c>
      <c r="P148" s="476">
        <f t="shared" si="59"/>
        <v>0</v>
      </c>
    </row>
    <row r="149" spans="2:16" ht="12.5">
      <c r="B149" s="160" t="str">
        <f t="shared" si="36"/>
        <v/>
      </c>
      <c r="C149" s="470">
        <f>IF(D93="","-",+C148+1)</f>
        <v>2059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4"/>
        <v>0</v>
      </c>
      <c r="G149" s="483">
        <f t="shared" si="55"/>
        <v>0</v>
      </c>
      <c r="H149" s="484">
        <f t="shared" si="52"/>
        <v>0</v>
      </c>
      <c r="I149" s="540">
        <f t="shared" si="53"/>
        <v>0</v>
      </c>
      <c r="J149" s="476">
        <f t="shared" si="56"/>
        <v>0</v>
      </c>
      <c r="K149" s="476"/>
      <c r="L149" s="485"/>
      <c r="M149" s="476">
        <f t="shared" si="57"/>
        <v>0</v>
      </c>
      <c r="N149" s="485"/>
      <c r="O149" s="476">
        <f t="shared" si="58"/>
        <v>0</v>
      </c>
      <c r="P149" s="476">
        <f t="shared" si="59"/>
        <v>0</v>
      </c>
    </row>
    <row r="150" spans="2:16" ht="12.5">
      <c r="B150" s="160" t="str">
        <f t="shared" si="36"/>
        <v/>
      </c>
      <c r="C150" s="470">
        <f>IF(D93="","-",+C149+1)</f>
        <v>2060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4"/>
        <v>0</v>
      </c>
      <c r="G150" s="483">
        <f t="shared" si="55"/>
        <v>0</v>
      </c>
      <c r="H150" s="484">
        <f t="shared" si="52"/>
        <v>0</v>
      </c>
      <c r="I150" s="540">
        <f t="shared" si="53"/>
        <v>0</v>
      </c>
      <c r="J150" s="476">
        <f t="shared" si="56"/>
        <v>0</v>
      </c>
      <c r="K150" s="476"/>
      <c r="L150" s="485"/>
      <c r="M150" s="476">
        <f t="shared" si="57"/>
        <v>0</v>
      </c>
      <c r="N150" s="485"/>
      <c r="O150" s="476">
        <f t="shared" si="58"/>
        <v>0</v>
      </c>
      <c r="P150" s="476">
        <f t="shared" si="59"/>
        <v>0</v>
      </c>
    </row>
    <row r="151" spans="2:16" ht="12.5">
      <c r="B151" s="160" t="str">
        <f t="shared" si="36"/>
        <v/>
      </c>
      <c r="C151" s="470">
        <f>IF(D93="","-",+C150+1)</f>
        <v>2061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4"/>
        <v>0</v>
      </c>
      <c r="G151" s="483">
        <f t="shared" si="55"/>
        <v>0</v>
      </c>
      <c r="H151" s="484">
        <f t="shared" si="52"/>
        <v>0</v>
      </c>
      <c r="I151" s="540">
        <f t="shared" si="53"/>
        <v>0</v>
      </c>
      <c r="J151" s="476">
        <f t="shared" si="56"/>
        <v>0</v>
      </c>
      <c r="K151" s="476"/>
      <c r="L151" s="485"/>
      <c r="M151" s="476">
        <f t="shared" si="57"/>
        <v>0</v>
      </c>
      <c r="N151" s="485"/>
      <c r="O151" s="476">
        <f t="shared" si="58"/>
        <v>0</v>
      </c>
      <c r="P151" s="476">
        <f t="shared" si="59"/>
        <v>0</v>
      </c>
    </row>
    <row r="152" spans="2:16" ht="12.5">
      <c r="B152" s="160" t="str">
        <f t="shared" si="36"/>
        <v/>
      </c>
      <c r="C152" s="470">
        <f>IF(D93="","-",+C151+1)</f>
        <v>2062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4"/>
        <v>0</v>
      </c>
      <c r="G152" s="483">
        <f t="shared" si="55"/>
        <v>0</v>
      </c>
      <c r="H152" s="484">
        <f t="shared" si="52"/>
        <v>0</v>
      </c>
      <c r="I152" s="540">
        <f t="shared" si="53"/>
        <v>0</v>
      </c>
      <c r="J152" s="476">
        <f t="shared" si="56"/>
        <v>0</v>
      </c>
      <c r="K152" s="476"/>
      <c r="L152" s="485"/>
      <c r="M152" s="476">
        <f t="shared" si="57"/>
        <v>0</v>
      </c>
      <c r="N152" s="485"/>
      <c r="O152" s="476">
        <f t="shared" si="58"/>
        <v>0</v>
      </c>
      <c r="P152" s="476">
        <f t="shared" si="59"/>
        <v>0</v>
      </c>
    </row>
    <row r="153" spans="2:16" ht="12.5">
      <c r="B153" s="160" t="str">
        <f t="shared" si="36"/>
        <v/>
      </c>
      <c r="C153" s="470">
        <f>IF(D93="","-",+C152+1)</f>
        <v>2063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4"/>
        <v>0</v>
      </c>
      <c r="G153" s="483">
        <f t="shared" si="55"/>
        <v>0</v>
      </c>
      <c r="H153" s="484">
        <f t="shared" si="52"/>
        <v>0</v>
      </c>
      <c r="I153" s="540">
        <f t="shared" si="53"/>
        <v>0</v>
      </c>
      <c r="J153" s="476">
        <f t="shared" si="56"/>
        <v>0</v>
      </c>
      <c r="K153" s="476"/>
      <c r="L153" s="485"/>
      <c r="M153" s="476">
        <f t="shared" si="57"/>
        <v>0</v>
      </c>
      <c r="N153" s="485"/>
      <c r="O153" s="476">
        <f t="shared" si="58"/>
        <v>0</v>
      </c>
      <c r="P153" s="476">
        <f t="shared" si="59"/>
        <v>0</v>
      </c>
    </row>
    <row r="154" spans="2:16" ht="13" thickBot="1">
      <c r="B154" s="160" t="str">
        <f t="shared" si="36"/>
        <v/>
      </c>
      <c r="C154" s="487">
        <f>IF(D93="","-",+C153+1)</f>
        <v>2064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4"/>
        <v>0</v>
      </c>
      <c r="G154" s="488">
        <f t="shared" si="55"/>
        <v>0</v>
      </c>
      <c r="H154" s="488">
        <f t="shared" si="52"/>
        <v>0</v>
      </c>
      <c r="I154" s="543">
        <f t="shared" si="53"/>
        <v>0</v>
      </c>
      <c r="J154" s="493">
        <f t="shared" si="56"/>
        <v>0</v>
      </c>
      <c r="K154" s="476"/>
      <c r="L154" s="492"/>
      <c r="M154" s="493">
        <f t="shared" si="57"/>
        <v>0</v>
      </c>
      <c r="N154" s="492"/>
      <c r="O154" s="493">
        <f t="shared" si="58"/>
        <v>0</v>
      </c>
      <c r="P154" s="493">
        <f t="shared" si="59"/>
        <v>0</v>
      </c>
    </row>
    <row r="155" spans="2:16" ht="12.5">
      <c r="C155" s="345" t="s">
        <v>77</v>
      </c>
      <c r="D155" s="346"/>
      <c r="E155" s="346">
        <f>SUM(E99:E154)</f>
        <v>11456065</v>
      </c>
      <c r="F155" s="346"/>
      <c r="G155" s="346"/>
      <c r="H155" s="346">
        <f>SUM(H99:H154)</f>
        <v>41798250.053827904</v>
      </c>
      <c r="I155" s="346">
        <f>SUM(I99:I154)</f>
        <v>41798250.053827904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2.5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62" priority="1" stopIfTrue="1" operator="equal">
      <formula>$I$10</formula>
    </cfRule>
  </conditionalFormatting>
  <conditionalFormatting sqref="C99:C154">
    <cfRule type="cellIs" dxfId="6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2"/>
  <dimension ref="A1:P1048576"/>
  <sheetViews>
    <sheetView topLeftCell="A79" zoomScaleNormal="100" zoomScaleSheetLayoutView="75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4 of 31</v>
      </c>
    </row>
    <row r="2" spans="1:16" ht="20">
      <c r="A2" s="553"/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 t="s">
        <v>248</v>
      </c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VLOOKUP(I10,C17:I72,5)-O5</f>
        <v>1546298.0974358974</v>
      </c>
      <c r="O5" s="554">
        <f>1307.4*12</f>
        <v>15688.800000000001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VLOOKUP(I10,C17:I72,6)-O5</f>
        <v>1546298.0974358974</v>
      </c>
      <c r="O6" s="231"/>
      <c r="P6" s="231"/>
    </row>
    <row r="7" spans="1:16" ht="13.5" thickBot="1">
      <c r="C7" s="429" t="s">
        <v>46</v>
      </c>
      <c r="D7" s="430" t="s">
        <v>207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82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14615636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2008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7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374759.89743589744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555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2008</v>
      </c>
      <c r="D17" s="556">
        <v>2264444</v>
      </c>
      <c r="E17" s="472">
        <v>21774</v>
      </c>
      <c r="F17" s="471">
        <v>2242670</v>
      </c>
      <c r="G17" s="472">
        <v>215833</v>
      </c>
      <c r="H17" s="472">
        <v>215833</v>
      </c>
      <c r="I17" s="473">
        <f t="shared" ref="I17:I48" si="0">H17-G17</f>
        <v>0</v>
      </c>
      <c r="J17" s="347"/>
      <c r="K17" s="474">
        <v>215833</v>
      </c>
      <c r="L17" s="557">
        <f t="shared" ref="L17:L48" si="1">IF(K17&lt;&gt;0,+G17-K17,0)</f>
        <v>0</v>
      </c>
      <c r="M17" s="552">
        <v>215833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>IU</v>
      </c>
      <c r="C18" s="470">
        <f>IF(D11="","-",+C17+1)</f>
        <v>2009</v>
      </c>
      <c r="D18" s="471">
        <v>14429811</v>
      </c>
      <c r="E18" s="478">
        <v>274418</v>
      </c>
      <c r="F18" s="471">
        <v>14155393</v>
      </c>
      <c r="G18" s="478">
        <v>2443110</v>
      </c>
      <c r="H18" s="478">
        <v>2443110</v>
      </c>
      <c r="I18" s="473">
        <f t="shared" si="0"/>
        <v>0</v>
      </c>
      <c r="J18" s="473"/>
      <c r="K18" s="474">
        <v>2443110</v>
      </c>
      <c r="L18" s="476">
        <f t="shared" si="1"/>
        <v>0</v>
      </c>
      <c r="M18" s="474">
        <v>2443110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2010</v>
      </c>
      <c r="D19" s="477">
        <v>14390719</v>
      </c>
      <c r="E19" s="478">
        <v>262266.26785714284</v>
      </c>
      <c r="F19" s="477">
        <v>14128452.732142856</v>
      </c>
      <c r="G19" s="478">
        <v>2300952.2678571427</v>
      </c>
      <c r="H19" s="479">
        <v>2300952.2678571427</v>
      </c>
      <c r="I19" s="473">
        <f t="shared" si="0"/>
        <v>0</v>
      </c>
      <c r="J19" s="473"/>
      <c r="K19" s="474">
        <f t="shared" ref="K19:K24" si="4">G19</f>
        <v>2300952.2678571427</v>
      </c>
      <c r="L19" s="548">
        <f t="shared" si="1"/>
        <v>0</v>
      </c>
      <c r="M19" s="474">
        <f t="shared" ref="M19:M24" si="5">H19</f>
        <v>2300952.2678571427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6">IF(D20=F19,"","IU")</f>
        <v>IU</v>
      </c>
      <c r="C20" s="470">
        <f>IF(D11="","-",+C19+1)</f>
        <v>2011</v>
      </c>
      <c r="D20" s="477">
        <v>14057177.732142856</v>
      </c>
      <c r="E20" s="478">
        <v>286581.09803921566</v>
      </c>
      <c r="F20" s="477">
        <v>13770596.634103641</v>
      </c>
      <c r="G20" s="478">
        <v>2442276.0980392154</v>
      </c>
      <c r="H20" s="479">
        <v>2442276.0980392154</v>
      </c>
      <c r="I20" s="473">
        <f t="shared" si="0"/>
        <v>0</v>
      </c>
      <c r="J20" s="473"/>
      <c r="K20" s="474">
        <f t="shared" si="4"/>
        <v>2442276.0980392154</v>
      </c>
      <c r="L20" s="548">
        <f t="shared" si="1"/>
        <v>0</v>
      </c>
      <c r="M20" s="474">
        <f t="shared" si="5"/>
        <v>2442276.0980392154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6"/>
        <v/>
      </c>
      <c r="C21" s="470">
        <f>IF(D12="","-",+C20+1)</f>
        <v>2012</v>
      </c>
      <c r="D21" s="477">
        <v>13770596.634103641</v>
      </c>
      <c r="E21" s="478">
        <v>281069.92307692306</v>
      </c>
      <c r="F21" s="477">
        <v>13489526.711026717</v>
      </c>
      <c r="G21" s="478">
        <v>2158902.923076923</v>
      </c>
      <c r="H21" s="479">
        <v>2158902.923076923</v>
      </c>
      <c r="I21" s="473">
        <f t="shared" si="0"/>
        <v>0</v>
      </c>
      <c r="J21" s="473"/>
      <c r="K21" s="474">
        <f t="shared" si="4"/>
        <v>2158902.923076923</v>
      </c>
      <c r="L21" s="548">
        <f t="shared" si="1"/>
        <v>0</v>
      </c>
      <c r="M21" s="474">
        <f t="shared" si="5"/>
        <v>2158902.923076923</v>
      </c>
      <c r="N21" s="476">
        <f t="shared" si="2"/>
        <v>0</v>
      </c>
      <c r="O21" s="476">
        <f t="shared" si="3"/>
        <v>0</v>
      </c>
      <c r="P21" s="241"/>
    </row>
    <row r="22" spans="2:16" ht="12.5">
      <c r="B22" s="160" t="str">
        <f t="shared" si="6"/>
        <v/>
      </c>
      <c r="C22" s="470">
        <f>IF(D11="","-",+C21+1)</f>
        <v>2013</v>
      </c>
      <c r="D22" s="477">
        <v>13489526.711026717</v>
      </c>
      <c r="E22" s="478">
        <v>281069.92307692306</v>
      </c>
      <c r="F22" s="477">
        <v>13208456.787949793</v>
      </c>
      <c r="G22" s="478">
        <v>2167326.923076923</v>
      </c>
      <c r="H22" s="479">
        <v>2167326.923076923</v>
      </c>
      <c r="I22" s="473">
        <v>0</v>
      </c>
      <c r="J22" s="473"/>
      <c r="K22" s="474">
        <f t="shared" si="4"/>
        <v>2167326.923076923</v>
      </c>
      <c r="L22" s="548">
        <f t="shared" ref="L22:L27" si="7">IF(K22&lt;&gt;0,+G22-K22,0)</f>
        <v>0</v>
      </c>
      <c r="M22" s="474">
        <f t="shared" si="5"/>
        <v>2167326.923076923</v>
      </c>
      <c r="N22" s="476">
        <f t="shared" ref="N22:N27" si="8">IF(M22&lt;&gt;0,+H22-M22,0)</f>
        <v>0</v>
      </c>
      <c r="O22" s="476">
        <f t="shared" ref="O22:O27" si="9">+N22-L22</f>
        <v>0</v>
      </c>
      <c r="P22" s="241"/>
    </row>
    <row r="23" spans="2:16" ht="12.5">
      <c r="B23" s="160" t="str">
        <f t="shared" si="6"/>
        <v/>
      </c>
      <c r="C23" s="470">
        <f>IF(D11="","-",+C22+1)</f>
        <v>2014</v>
      </c>
      <c r="D23" s="477">
        <v>13208456.787949793</v>
      </c>
      <c r="E23" s="478">
        <v>281069.92307692306</v>
      </c>
      <c r="F23" s="477">
        <v>12927386.864872869</v>
      </c>
      <c r="G23" s="478">
        <v>2060637.923076923</v>
      </c>
      <c r="H23" s="479">
        <v>2060637.923076923</v>
      </c>
      <c r="I23" s="473">
        <v>0</v>
      </c>
      <c r="J23" s="473"/>
      <c r="K23" s="474">
        <f t="shared" si="4"/>
        <v>2060637.923076923</v>
      </c>
      <c r="L23" s="548">
        <f t="shared" si="7"/>
        <v>0</v>
      </c>
      <c r="M23" s="474">
        <f t="shared" si="5"/>
        <v>2060637.923076923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2015</v>
      </c>
      <c r="D24" s="477">
        <v>12927386.864872869</v>
      </c>
      <c r="E24" s="478">
        <v>281069.92307692306</v>
      </c>
      <c r="F24" s="477">
        <v>12646316.941795945</v>
      </c>
      <c r="G24" s="478">
        <v>2024638.923076923</v>
      </c>
      <c r="H24" s="479">
        <v>2024638.923076923</v>
      </c>
      <c r="I24" s="473">
        <v>0</v>
      </c>
      <c r="J24" s="473"/>
      <c r="K24" s="474">
        <f t="shared" si="4"/>
        <v>2024638.923076923</v>
      </c>
      <c r="L24" s="548">
        <f t="shared" si="7"/>
        <v>0</v>
      </c>
      <c r="M24" s="474">
        <f t="shared" si="5"/>
        <v>2024638.923076923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6"/>
        <v/>
      </c>
      <c r="C25" s="470">
        <f>IF(D11="","-",+C24+1)</f>
        <v>2016</v>
      </c>
      <c r="D25" s="477">
        <v>12646316.941795945</v>
      </c>
      <c r="E25" s="478">
        <v>281069.92307692306</v>
      </c>
      <c r="F25" s="477">
        <v>12365247.018719021</v>
      </c>
      <c r="G25" s="478">
        <v>1902890.923076923</v>
      </c>
      <c r="H25" s="479">
        <v>1902890.923076923</v>
      </c>
      <c r="I25" s="473">
        <f t="shared" si="0"/>
        <v>0</v>
      </c>
      <c r="J25" s="473"/>
      <c r="K25" s="474">
        <f t="shared" ref="K25:K30" si="10">G25</f>
        <v>1902890.923076923</v>
      </c>
      <c r="L25" s="548">
        <f t="shared" si="7"/>
        <v>0</v>
      </c>
      <c r="M25" s="474">
        <f t="shared" ref="M25:M30" si="11">H25</f>
        <v>1902890.923076923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2017</v>
      </c>
      <c r="D26" s="477">
        <v>12365247.018719021</v>
      </c>
      <c r="E26" s="478">
        <v>317731.21739130432</v>
      </c>
      <c r="F26" s="477">
        <v>12047515.801327717</v>
      </c>
      <c r="G26" s="478">
        <v>1850906.2173913042</v>
      </c>
      <c r="H26" s="479">
        <v>1850906.2173913042</v>
      </c>
      <c r="I26" s="473">
        <f t="shared" si="0"/>
        <v>0</v>
      </c>
      <c r="J26" s="473"/>
      <c r="K26" s="474">
        <f t="shared" si="10"/>
        <v>1850906.2173913042</v>
      </c>
      <c r="L26" s="548">
        <f t="shared" si="7"/>
        <v>0</v>
      </c>
      <c r="M26" s="474">
        <f t="shared" si="11"/>
        <v>1850906.2173913042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6"/>
        <v/>
      </c>
      <c r="C27" s="470">
        <f>IF(D11="","-",+C26+1)</f>
        <v>2018</v>
      </c>
      <c r="D27" s="477">
        <v>12047515.801327717</v>
      </c>
      <c r="E27" s="478">
        <v>324791.91111111111</v>
      </c>
      <c r="F27" s="477">
        <v>11722723.890216606</v>
      </c>
      <c r="G27" s="478">
        <v>1748141.2740256879</v>
      </c>
      <c r="H27" s="479">
        <v>1748141.2740256879</v>
      </c>
      <c r="I27" s="473">
        <f t="shared" si="0"/>
        <v>0</v>
      </c>
      <c r="J27" s="473"/>
      <c r="K27" s="474">
        <f t="shared" si="10"/>
        <v>1748141.2740256879</v>
      </c>
      <c r="L27" s="548">
        <f t="shared" si="7"/>
        <v>0</v>
      </c>
      <c r="M27" s="474">
        <f t="shared" si="11"/>
        <v>1748141.2740256879</v>
      </c>
      <c r="N27" s="476">
        <f t="shared" si="8"/>
        <v>0</v>
      </c>
      <c r="O27" s="476">
        <f t="shared" si="9"/>
        <v>0</v>
      </c>
      <c r="P27" s="241"/>
    </row>
    <row r="28" spans="2:16" ht="12.5">
      <c r="B28" s="160" t="str">
        <f t="shared" si="6"/>
        <v/>
      </c>
      <c r="C28" s="470">
        <f>IF(D11="","-",+C27+1)</f>
        <v>2019</v>
      </c>
      <c r="D28" s="477">
        <v>11722723.890216606</v>
      </c>
      <c r="E28" s="478">
        <v>365390.9</v>
      </c>
      <c r="F28" s="477">
        <v>11357332.990216605</v>
      </c>
      <c r="G28" s="478">
        <v>1653911.6007125233</v>
      </c>
      <c r="H28" s="479">
        <v>1653911.6007125233</v>
      </c>
      <c r="I28" s="473">
        <f t="shared" si="0"/>
        <v>0</v>
      </c>
      <c r="J28" s="473"/>
      <c r="K28" s="474">
        <f t="shared" si="10"/>
        <v>1653911.6007125233</v>
      </c>
      <c r="L28" s="548">
        <f t="shared" ref="L28" si="12">IF(K28&lt;&gt;0,+G28-K28,0)</f>
        <v>0</v>
      </c>
      <c r="M28" s="474">
        <f t="shared" si="11"/>
        <v>1653911.6007125233</v>
      </c>
      <c r="N28" s="476">
        <f t="shared" ref="N28" si="13">IF(M28&lt;&gt;0,+H28-M28,0)</f>
        <v>0</v>
      </c>
      <c r="O28" s="476">
        <f t="shared" ref="O28" si="14">+N28-L28</f>
        <v>0</v>
      </c>
      <c r="P28" s="241"/>
    </row>
    <row r="29" spans="2:16" ht="12.5">
      <c r="B29" s="160" t="str">
        <f t="shared" si="6"/>
        <v>IU</v>
      </c>
      <c r="C29" s="470">
        <f>IF(D11="","-",+C28+1)</f>
        <v>2020</v>
      </c>
      <c r="D29" s="477">
        <v>11397931.979105495</v>
      </c>
      <c r="E29" s="478">
        <v>347991.33333333331</v>
      </c>
      <c r="F29" s="477">
        <v>11049940.645772161</v>
      </c>
      <c r="G29" s="478">
        <v>1560230.0708098114</v>
      </c>
      <c r="H29" s="479">
        <v>1560230.0708098114</v>
      </c>
      <c r="I29" s="473">
        <f t="shared" si="0"/>
        <v>0</v>
      </c>
      <c r="J29" s="473"/>
      <c r="K29" s="474">
        <f t="shared" si="10"/>
        <v>1560230.0708098114</v>
      </c>
      <c r="L29" s="548">
        <f t="shared" ref="L29" si="15">IF(K29&lt;&gt;0,+G29-K29,0)</f>
        <v>0</v>
      </c>
      <c r="M29" s="474">
        <f t="shared" si="11"/>
        <v>1560230.0708098114</v>
      </c>
      <c r="N29" s="476">
        <f t="shared" si="2"/>
        <v>0</v>
      </c>
      <c r="O29" s="476">
        <f t="shared" si="3"/>
        <v>0</v>
      </c>
      <c r="P29" s="241"/>
    </row>
    <row r="30" spans="2:16" ht="12.5">
      <c r="B30" s="160" t="str">
        <f t="shared" si="6"/>
        <v>IU</v>
      </c>
      <c r="C30" s="470">
        <f>IF(D11="","-",+C29+1)</f>
        <v>2021</v>
      </c>
      <c r="D30" s="477">
        <v>11009341.656883277</v>
      </c>
      <c r="E30" s="478">
        <v>339898.51162790699</v>
      </c>
      <c r="F30" s="477">
        <v>10669443.14525537</v>
      </c>
      <c r="G30" s="478">
        <v>1490295.5116279069</v>
      </c>
      <c r="H30" s="479">
        <v>1490295.5116279069</v>
      </c>
      <c r="I30" s="473">
        <f t="shared" si="0"/>
        <v>0</v>
      </c>
      <c r="J30" s="473"/>
      <c r="K30" s="474">
        <f t="shared" si="10"/>
        <v>1490295.5116279069</v>
      </c>
      <c r="L30" s="548">
        <f t="shared" ref="L30" si="16">IF(K30&lt;&gt;0,+G30-K30,0)</f>
        <v>0</v>
      </c>
      <c r="M30" s="474">
        <f t="shared" si="11"/>
        <v>1490295.5116279069</v>
      </c>
      <c r="N30" s="476">
        <f t="shared" si="2"/>
        <v>0</v>
      </c>
      <c r="O30" s="476">
        <f t="shared" si="3"/>
        <v>0</v>
      </c>
      <c r="P30" s="241"/>
    </row>
    <row r="31" spans="2:16" ht="12.5">
      <c r="B31" s="160" t="str">
        <f t="shared" si="6"/>
        <v/>
      </c>
      <c r="C31" s="470">
        <f>IF(D11="","-",+C30+1)</f>
        <v>2022</v>
      </c>
      <c r="D31" s="477">
        <v>10669443.14525537</v>
      </c>
      <c r="E31" s="478">
        <v>347991.33333333331</v>
      </c>
      <c r="F31" s="477">
        <v>10321451.811922036</v>
      </c>
      <c r="G31" s="478">
        <v>1460760.3333333333</v>
      </c>
      <c r="H31" s="479">
        <v>1460760.3333333333</v>
      </c>
      <c r="I31" s="473">
        <f t="shared" si="0"/>
        <v>0</v>
      </c>
      <c r="J31" s="473"/>
      <c r="K31" s="474">
        <f t="shared" ref="K31" si="17">G31</f>
        <v>1460760.3333333333</v>
      </c>
      <c r="L31" s="548">
        <f t="shared" ref="L31" si="18">IF(K31&lt;&gt;0,+G31-K31,0)</f>
        <v>0</v>
      </c>
      <c r="M31" s="474">
        <f t="shared" ref="M31" si="19">H31</f>
        <v>1460760.3333333333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6"/>
        <v/>
      </c>
      <c r="C32" s="470">
        <f>IF(D11="","-",+C31+1)</f>
        <v>2023</v>
      </c>
      <c r="D32" s="477">
        <v>10321451.811922036</v>
      </c>
      <c r="E32" s="478">
        <v>374759.89743589744</v>
      </c>
      <c r="F32" s="477">
        <v>9946691.9144861382</v>
      </c>
      <c r="G32" s="478">
        <v>1561986.8974358975</v>
      </c>
      <c r="H32" s="479">
        <v>1561986.8974358975</v>
      </c>
      <c r="I32" s="473">
        <f t="shared" si="0"/>
        <v>0</v>
      </c>
      <c r="J32" s="473"/>
      <c r="K32" s="474">
        <f t="shared" ref="K32" si="20">G32</f>
        <v>1561986.8974358975</v>
      </c>
      <c r="L32" s="548">
        <f t="shared" ref="L32" si="21">IF(K32&lt;&gt;0,+G32-K32,0)</f>
        <v>0</v>
      </c>
      <c r="M32" s="474">
        <f t="shared" ref="M32" si="22">H32</f>
        <v>1561986.8974358975</v>
      </c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6"/>
        <v/>
      </c>
      <c r="C33" s="470">
        <f>IF(D11="","-",+C32+1)</f>
        <v>2024</v>
      </c>
      <c r="D33" s="483">
        <f>IF(F32+SUM(E$17:E32)=D$10,F32,D$10-SUM(E$17:E32))</f>
        <v>9946691.9144861382</v>
      </c>
      <c r="E33" s="482">
        <f>IF(+I14&lt;F32,I14,D33)</f>
        <v>374759.89743589744</v>
      </c>
      <c r="F33" s="483">
        <f t="shared" ref="F33:F72" si="23">+D33-E33</f>
        <v>9571932.0170502402</v>
      </c>
      <c r="G33" s="484">
        <f t="shared" ref="G33:G72" si="24">(D33+F33)/2*I$12+E33</f>
        <v>1539621.132802302</v>
      </c>
      <c r="H33" s="453">
        <f t="shared" ref="H33:H72" si="25">+(D33+F33)/2*I$13+E33</f>
        <v>1539621.132802302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6"/>
        <v/>
      </c>
      <c r="C34" s="470">
        <f>IF(D11="","-",+C33+1)</f>
        <v>2025</v>
      </c>
      <c r="D34" s="483">
        <f>IF(F33+SUM(E$17:E33)=D$10,F33,D$10-SUM(E$17:E33))</f>
        <v>9571932.0170502402</v>
      </c>
      <c r="E34" s="482">
        <f>IF(+I14&lt;F33,I14,D34)</f>
        <v>374759.89743589744</v>
      </c>
      <c r="F34" s="483">
        <f t="shared" si="23"/>
        <v>9197172.1196143422</v>
      </c>
      <c r="G34" s="484">
        <f t="shared" si="24"/>
        <v>1494890.1846961051</v>
      </c>
      <c r="H34" s="453">
        <f t="shared" si="25"/>
        <v>1494890.1846961051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6"/>
        <v/>
      </c>
      <c r="C35" s="470">
        <f>IF(D11="","-",+C34+1)</f>
        <v>2026</v>
      </c>
      <c r="D35" s="483">
        <f>IF(F34+SUM(E$17:E34)=D$10,F34,D$10-SUM(E$17:E34))</f>
        <v>9197172.1196143422</v>
      </c>
      <c r="E35" s="482">
        <f>IF(+I14&lt;F34,I14,D35)</f>
        <v>374759.89743589744</v>
      </c>
      <c r="F35" s="483">
        <f t="shared" si="23"/>
        <v>8822412.2221784443</v>
      </c>
      <c r="G35" s="484">
        <f t="shared" si="24"/>
        <v>1450159.2365899074</v>
      </c>
      <c r="H35" s="453">
        <f t="shared" si="25"/>
        <v>1450159.2365899074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6"/>
        <v/>
      </c>
      <c r="C36" s="470">
        <f>IF(D11="","-",+C35+1)</f>
        <v>2027</v>
      </c>
      <c r="D36" s="483">
        <f>IF(F35+SUM(E$17:E35)=D$10,F35,D$10-SUM(E$17:E35))</f>
        <v>8822412.2221784443</v>
      </c>
      <c r="E36" s="482">
        <f>IF(+I14&lt;F35,I14,D36)</f>
        <v>374759.89743589744</v>
      </c>
      <c r="F36" s="483">
        <f t="shared" si="23"/>
        <v>8447652.3247425463</v>
      </c>
      <c r="G36" s="484">
        <f t="shared" si="24"/>
        <v>1405428.2884837103</v>
      </c>
      <c r="H36" s="453">
        <f t="shared" si="25"/>
        <v>1405428.2884837103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6"/>
        <v/>
      </c>
      <c r="C37" s="470">
        <f>IF(D11="","-",+C36+1)</f>
        <v>2028</v>
      </c>
      <c r="D37" s="483">
        <f>IF(F36+SUM(E$17:E36)=D$10,F36,D$10-SUM(E$17:E36))</f>
        <v>8447652.3247425463</v>
      </c>
      <c r="E37" s="482">
        <f>IF(+I14&lt;F36,I14,D37)</f>
        <v>374759.89743589744</v>
      </c>
      <c r="F37" s="483">
        <f t="shared" si="23"/>
        <v>8072892.4273066493</v>
      </c>
      <c r="G37" s="484">
        <f t="shared" si="24"/>
        <v>1360697.3403775131</v>
      </c>
      <c r="H37" s="453">
        <f t="shared" si="25"/>
        <v>1360697.3403775131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6"/>
        <v/>
      </c>
      <c r="C38" s="470">
        <f>IF(D11="","-",+C37+1)</f>
        <v>2029</v>
      </c>
      <c r="D38" s="483">
        <f>IF(F37+SUM(E$17:E37)=D$10,F37,D$10-SUM(E$17:E37))</f>
        <v>8072892.4273066493</v>
      </c>
      <c r="E38" s="482">
        <f>IF(+I14&lt;F37,I14,D38)</f>
        <v>374759.89743589744</v>
      </c>
      <c r="F38" s="483">
        <f t="shared" si="23"/>
        <v>7698132.5298707522</v>
      </c>
      <c r="G38" s="484">
        <f t="shared" si="24"/>
        <v>1315966.3922713157</v>
      </c>
      <c r="H38" s="453">
        <f t="shared" si="25"/>
        <v>1315966.3922713157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6"/>
        <v/>
      </c>
      <c r="C39" s="470">
        <f>IF(D11="","-",+C38+1)</f>
        <v>2030</v>
      </c>
      <c r="D39" s="483">
        <f>IF(F38+SUM(E$17:E38)=D$10,F38,D$10-SUM(E$17:E38))</f>
        <v>7698132.5298707522</v>
      </c>
      <c r="E39" s="482">
        <f>IF(+I14&lt;F38,I14,D39)</f>
        <v>374759.89743589744</v>
      </c>
      <c r="F39" s="483">
        <f t="shared" si="23"/>
        <v>7323372.6324348552</v>
      </c>
      <c r="G39" s="484">
        <f t="shared" si="24"/>
        <v>1271235.4441651187</v>
      </c>
      <c r="H39" s="453">
        <f t="shared" si="25"/>
        <v>1271235.4441651187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6"/>
        <v/>
      </c>
      <c r="C40" s="470">
        <f>IF(D11="","-",+C39+1)</f>
        <v>2031</v>
      </c>
      <c r="D40" s="483">
        <f>IF(F39+SUM(E$17:E39)=D$10,F39,D$10-SUM(E$17:E39))</f>
        <v>7323372.6324348552</v>
      </c>
      <c r="E40" s="482">
        <f>IF(+I14&lt;F39,I14,D40)</f>
        <v>374759.89743589744</v>
      </c>
      <c r="F40" s="483">
        <f t="shared" si="23"/>
        <v>6948612.7349989582</v>
      </c>
      <c r="G40" s="484">
        <f t="shared" si="24"/>
        <v>1226504.4960589213</v>
      </c>
      <c r="H40" s="453">
        <f t="shared" si="25"/>
        <v>1226504.4960589213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6"/>
        <v/>
      </c>
      <c r="C41" s="470">
        <f>IF(D11="","-",+C40+1)</f>
        <v>2032</v>
      </c>
      <c r="D41" s="483">
        <f>IF(F40+SUM(E$17:E40)=D$10,F40,D$10-SUM(E$17:E40))</f>
        <v>6948612.7349989582</v>
      </c>
      <c r="E41" s="482">
        <f>IF(+I14&lt;F40,I14,D41)</f>
        <v>374759.89743589744</v>
      </c>
      <c r="F41" s="483">
        <f t="shared" si="23"/>
        <v>6573852.8375630612</v>
      </c>
      <c r="G41" s="484">
        <f t="shared" si="24"/>
        <v>1181773.5479527244</v>
      </c>
      <c r="H41" s="453">
        <f t="shared" si="25"/>
        <v>1181773.5479527244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6"/>
        <v/>
      </c>
      <c r="C42" s="470">
        <f>IF(D11="","-",+C41+1)</f>
        <v>2033</v>
      </c>
      <c r="D42" s="483">
        <f>IF(F41+SUM(E$17:E41)=D$10,F41,D$10-SUM(E$17:E41))</f>
        <v>6573852.8375630612</v>
      </c>
      <c r="E42" s="482">
        <f>IF(+I14&lt;F41,I14,D42)</f>
        <v>374759.89743589744</v>
      </c>
      <c r="F42" s="483">
        <f t="shared" si="23"/>
        <v>6199092.9401271641</v>
      </c>
      <c r="G42" s="484">
        <f t="shared" si="24"/>
        <v>1137042.599846527</v>
      </c>
      <c r="H42" s="453">
        <f t="shared" si="25"/>
        <v>1137042.599846527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6"/>
        <v/>
      </c>
      <c r="C43" s="470">
        <f>IF(D11="","-",+C42+1)</f>
        <v>2034</v>
      </c>
      <c r="D43" s="483">
        <f>IF(F42+SUM(E$17:E42)=D$10,F42,D$10-SUM(E$17:E42))</f>
        <v>6199092.9401271641</v>
      </c>
      <c r="E43" s="482">
        <f>IF(+I14&lt;F42,I14,D43)</f>
        <v>374759.89743589744</v>
      </c>
      <c r="F43" s="483">
        <f t="shared" si="23"/>
        <v>5824333.0426912671</v>
      </c>
      <c r="G43" s="484">
        <f t="shared" si="24"/>
        <v>1092311.65174033</v>
      </c>
      <c r="H43" s="453">
        <f t="shared" si="25"/>
        <v>1092311.65174033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6"/>
        <v/>
      </c>
      <c r="C44" s="470">
        <f>IF(D11="","-",+C43+1)</f>
        <v>2035</v>
      </c>
      <c r="D44" s="483">
        <f>IF(F43+SUM(E$17:E43)=D$10,F43,D$10-SUM(E$17:E43))</f>
        <v>5824333.0426912671</v>
      </c>
      <c r="E44" s="482">
        <f>IF(+I14&lt;F43,I14,D44)</f>
        <v>374759.89743589744</v>
      </c>
      <c r="F44" s="483">
        <f t="shared" si="23"/>
        <v>5449573.1452553701</v>
      </c>
      <c r="G44" s="484">
        <f t="shared" si="24"/>
        <v>1047580.7036341326</v>
      </c>
      <c r="H44" s="453">
        <f t="shared" si="25"/>
        <v>1047580.7036341326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6"/>
        <v/>
      </c>
      <c r="C45" s="470">
        <f>IF(D11="","-",+C44+1)</f>
        <v>2036</v>
      </c>
      <c r="D45" s="483">
        <f>IF(F44+SUM(E$17:E44)=D$10,F44,D$10-SUM(E$17:E44))</f>
        <v>5449573.1452553701</v>
      </c>
      <c r="E45" s="482">
        <f>IF(+I14&lt;F44,I14,D45)</f>
        <v>374759.89743589744</v>
      </c>
      <c r="F45" s="483">
        <f t="shared" si="23"/>
        <v>5074813.247819473</v>
      </c>
      <c r="G45" s="484">
        <f t="shared" si="24"/>
        <v>1002849.7555279355</v>
      </c>
      <c r="H45" s="453">
        <f t="shared" si="25"/>
        <v>1002849.7555279355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6"/>
        <v/>
      </c>
      <c r="C46" s="470">
        <f>IF(D11="","-",+C45+1)</f>
        <v>2037</v>
      </c>
      <c r="D46" s="483">
        <f>IF(F45+SUM(E$17:E45)=D$10,F45,D$10-SUM(E$17:E45))</f>
        <v>5074813.247819473</v>
      </c>
      <c r="E46" s="482">
        <f>IF(+I14&lt;F45,I14,D46)</f>
        <v>374759.89743589744</v>
      </c>
      <c r="F46" s="483">
        <f t="shared" si="23"/>
        <v>4700053.350383576</v>
      </c>
      <c r="G46" s="484">
        <f t="shared" si="24"/>
        <v>958118.80742173828</v>
      </c>
      <c r="H46" s="453">
        <f t="shared" si="25"/>
        <v>958118.80742173828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6"/>
        <v/>
      </c>
      <c r="C47" s="470">
        <f>IF(D11="","-",+C46+1)</f>
        <v>2038</v>
      </c>
      <c r="D47" s="483">
        <f>IF(F46+SUM(E$17:E46)=D$10,F46,D$10-SUM(E$17:E46))</f>
        <v>4700053.350383576</v>
      </c>
      <c r="E47" s="482">
        <f>IF(+I14&lt;F46,I14,D47)</f>
        <v>374759.89743589744</v>
      </c>
      <c r="F47" s="483">
        <f t="shared" si="23"/>
        <v>4325293.452947679</v>
      </c>
      <c r="G47" s="484">
        <f t="shared" si="24"/>
        <v>913387.85931554111</v>
      </c>
      <c r="H47" s="453">
        <f t="shared" si="25"/>
        <v>913387.85931554111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6"/>
        <v/>
      </c>
      <c r="C48" s="470">
        <f>IF(D11="","-",+C47+1)</f>
        <v>2039</v>
      </c>
      <c r="D48" s="483">
        <f>IF(F47+SUM(E$17:E47)=D$10,F47,D$10-SUM(E$17:E47))</f>
        <v>4325293.452947679</v>
      </c>
      <c r="E48" s="482">
        <f>IF(+I14&lt;F47,I14,D48)</f>
        <v>374759.89743589744</v>
      </c>
      <c r="F48" s="483">
        <f t="shared" si="23"/>
        <v>3950533.5555117815</v>
      </c>
      <c r="G48" s="484">
        <f t="shared" si="24"/>
        <v>868656.91120934393</v>
      </c>
      <c r="H48" s="453">
        <f t="shared" si="25"/>
        <v>868656.91120934393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6"/>
        <v/>
      </c>
      <c r="C49" s="470">
        <f>IF(D11="","-",+C48+1)</f>
        <v>2040</v>
      </c>
      <c r="D49" s="483">
        <f>IF(F48+SUM(E$17:E48)=D$10,F48,D$10-SUM(E$17:E48))</f>
        <v>3950533.5555117815</v>
      </c>
      <c r="E49" s="482">
        <f>IF(+I14&lt;F48,I14,D49)</f>
        <v>374759.89743589744</v>
      </c>
      <c r="F49" s="483">
        <f t="shared" si="23"/>
        <v>3575773.658075884</v>
      </c>
      <c r="G49" s="484">
        <f t="shared" si="24"/>
        <v>823925.96310314676</v>
      </c>
      <c r="H49" s="453">
        <f t="shared" si="25"/>
        <v>823925.96310314676</v>
      </c>
      <c r="I49" s="473">
        <f t="shared" ref="I49:I72" si="26">H49-G49</f>
        <v>0</v>
      </c>
      <c r="J49" s="473"/>
      <c r="K49" s="485"/>
      <c r="L49" s="476">
        <f t="shared" ref="L49:L72" si="27">IF(K49&lt;&gt;0,+G49-K49,0)</f>
        <v>0</v>
      </c>
      <c r="M49" s="485"/>
      <c r="N49" s="476">
        <f t="shared" ref="N49:N72" si="28">IF(M49&lt;&gt;0,+H49-M49,0)</f>
        <v>0</v>
      </c>
      <c r="O49" s="476">
        <f t="shared" ref="O49:O72" si="29">+N49-L49</f>
        <v>0</v>
      </c>
      <c r="P49" s="241"/>
    </row>
    <row r="50" spans="2:16" ht="12.5">
      <c r="B50" s="160" t="str">
        <f t="shared" si="6"/>
        <v/>
      </c>
      <c r="C50" s="470">
        <f>IF(D11="","-",+C49+1)</f>
        <v>2041</v>
      </c>
      <c r="D50" s="483">
        <f>IF(F49+SUM(E$17:E49)=D$10,F49,D$10-SUM(E$17:E49))</f>
        <v>3575773.658075884</v>
      </c>
      <c r="E50" s="482">
        <f>IF(+I14&lt;F49,I14,D50)</f>
        <v>374759.89743589744</v>
      </c>
      <c r="F50" s="483">
        <f t="shared" si="23"/>
        <v>3201013.7606399865</v>
      </c>
      <c r="G50" s="484">
        <f t="shared" si="24"/>
        <v>779195.01499694935</v>
      </c>
      <c r="H50" s="453">
        <f t="shared" si="25"/>
        <v>779195.01499694935</v>
      </c>
      <c r="I50" s="473">
        <f t="shared" si="26"/>
        <v>0</v>
      </c>
      <c r="J50" s="473"/>
      <c r="K50" s="485"/>
      <c r="L50" s="476">
        <f t="shared" si="27"/>
        <v>0</v>
      </c>
      <c r="M50" s="485"/>
      <c r="N50" s="476">
        <f t="shared" si="28"/>
        <v>0</v>
      </c>
      <c r="O50" s="476">
        <f t="shared" si="29"/>
        <v>0</v>
      </c>
      <c r="P50" s="241"/>
    </row>
    <row r="51" spans="2:16" ht="12.5">
      <c r="B51" s="160" t="str">
        <f t="shared" si="6"/>
        <v/>
      </c>
      <c r="C51" s="470">
        <f>IF(D11="","-",+C50+1)</f>
        <v>2042</v>
      </c>
      <c r="D51" s="483">
        <f>IF(F50+SUM(E$17:E50)=D$10,F50,D$10-SUM(E$17:E50))</f>
        <v>3201013.7606399865</v>
      </c>
      <c r="E51" s="482">
        <f>IF(+I14&lt;F50,I14,D51)</f>
        <v>374759.89743589744</v>
      </c>
      <c r="F51" s="483">
        <f t="shared" si="23"/>
        <v>2826253.863204089</v>
      </c>
      <c r="G51" s="484">
        <f t="shared" si="24"/>
        <v>734464.06689075218</v>
      </c>
      <c r="H51" s="453">
        <f t="shared" si="25"/>
        <v>734464.06689075218</v>
      </c>
      <c r="I51" s="473">
        <f t="shared" si="26"/>
        <v>0</v>
      </c>
      <c r="J51" s="473"/>
      <c r="K51" s="485"/>
      <c r="L51" s="476">
        <f t="shared" si="27"/>
        <v>0</v>
      </c>
      <c r="M51" s="485"/>
      <c r="N51" s="476">
        <f t="shared" si="28"/>
        <v>0</v>
      </c>
      <c r="O51" s="476">
        <f t="shared" si="29"/>
        <v>0</v>
      </c>
      <c r="P51" s="241"/>
    </row>
    <row r="52" spans="2:16" ht="12.5">
      <c r="B52" s="160" t="str">
        <f t="shared" si="6"/>
        <v/>
      </c>
      <c r="C52" s="470">
        <f>IF(D11="","-",+C51+1)</f>
        <v>2043</v>
      </c>
      <c r="D52" s="483">
        <f>IF(F51+SUM(E$17:E51)=D$10,F51,D$10-SUM(E$17:E51))</f>
        <v>2826253.863204089</v>
      </c>
      <c r="E52" s="482">
        <f>IF(+I14&lt;F51,I14,D52)</f>
        <v>374759.89743589744</v>
      </c>
      <c r="F52" s="483">
        <f t="shared" si="23"/>
        <v>2451493.9657681915</v>
      </c>
      <c r="G52" s="484">
        <f t="shared" si="24"/>
        <v>689733.11878455488</v>
      </c>
      <c r="H52" s="453">
        <f t="shared" si="25"/>
        <v>689733.11878455488</v>
      </c>
      <c r="I52" s="473">
        <f t="shared" si="26"/>
        <v>0</v>
      </c>
      <c r="J52" s="473"/>
      <c r="K52" s="485"/>
      <c r="L52" s="476">
        <f t="shared" si="27"/>
        <v>0</v>
      </c>
      <c r="M52" s="485"/>
      <c r="N52" s="476">
        <f t="shared" si="28"/>
        <v>0</v>
      </c>
      <c r="O52" s="476">
        <f t="shared" si="29"/>
        <v>0</v>
      </c>
      <c r="P52" s="241"/>
    </row>
    <row r="53" spans="2:16" ht="12.5">
      <c r="B53" s="160" t="str">
        <f t="shared" si="6"/>
        <v/>
      </c>
      <c r="C53" s="470">
        <f>IF(D11="","-",+C52+1)</f>
        <v>2044</v>
      </c>
      <c r="D53" s="483">
        <f>IF(F52+SUM(E$17:E52)=D$10,F52,D$10-SUM(E$17:E52))</f>
        <v>2451493.9657681915</v>
      </c>
      <c r="E53" s="482">
        <f>IF(+I14&lt;F52,I14,D53)</f>
        <v>374759.89743589744</v>
      </c>
      <c r="F53" s="483">
        <f t="shared" si="23"/>
        <v>2076734.068332294</v>
      </c>
      <c r="G53" s="484">
        <f t="shared" si="24"/>
        <v>645002.17067835771</v>
      </c>
      <c r="H53" s="453">
        <f t="shared" si="25"/>
        <v>645002.17067835771</v>
      </c>
      <c r="I53" s="473">
        <f t="shared" si="26"/>
        <v>0</v>
      </c>
      <c r="J53" s="473"/>
      <c r="K53" s="485"/>
      <c r="L53" s="476">
        <f t="shared" si="27"/>
        <v>0</v>
      </c>
      <c r="M53" s="485"/>
      <c r="N53" s="476">
        <f t="shared" si="28"/>
        <v>0</v>
      </c>
      <c r="O53" s="476">
        <f t="shared" si="29"/>
        <v>0</v>
      </c>
      <c r="P53" s="241"/>
    </row>
    <row r="54" spans="2:16" ht="12.5">
      <c r="B54" s="160" t="str">
        <f t="shared" si="6"/>
        <v/>
      </c>
      <c r="C54" s="470">
        <f>IF(D11="","-",+C53+1)</f>
        <v>2045</v>
      </c>
      <c r="D54" s="483">
        <f>IF(F53+SUM(E$17:E53)=D$10,F53,D$10-SUM(E$17:E53))</f>
        <v>2076734.068332294</v>
      </c>
      <c r="E54" s="482">
        <f>IF(+I14&lt;F53,I14,D54)</f>
        <v>374759.89743589744</v>
      </c>
      <c r="F54" s="483">
        <f t="shared" si="23"/>
        <v>1701974.1708963965</v>
      </c>
      <c r="G54" s="484">
        <f t="shared" si="24"/>
        <v>600271.22257216042</v>
      </c>
      <c r="H54" s="453">
        <f t="shared" si="25"/>
        <v>600271.22257216042</v>
      </c>
      <c r="I54" s="473">
        <f t="shared" si="26"/>
        <v>0</v>
      </c>
      <c r="J54" s="473"/>
      <c r="K54" s="485"/>
      <c r="L54" s="476">
        <f t="shared" si="27"/>
        <v>0</v>
      </c>
      <c r="M54" s="485"/>
      <c r="N54" s="476">
        <f t="shared" si="28"/>
        <v>0</v>
      </c>
      <c r="O54" s="476">
        <f t="shared" si="29"/>
        <v>0</v>
      </c>
      <c r="P54" s="241"/>
    </row>
    <row r="55" spans="2:16" ht="12.5">
      <c r="B55" s="160" t="str">
        <f t="shared" si="6"/>
        <v/>
      </c>
      <c r="C55" s="470">
        <f>IF(D11="","-",+C54+1)</f>
        <v>2046</v>
      </c>
      <c r="D55" s="483">
        <f>IF(F54+SUM(E$17:E54)=D$10,F54,D$10-SUM(E$17:E54))</f>
        <v>1701974.1708963965</v>
      </c>
      <c r="E55" s="482">
        <f>IF(+I14&lt;F54,I14,D55)</f>
        <v>374759.89743589744</v>
      </c>
      <c r="F55" s="483">
        <f t="shared" si="23"/>
        <v>1327214.273460499</v>
      </c>
      <c r="G55" s="484">
        <f t="shared" si="24"/>
        <v>555540.27446596324</v>
      </c>
      <c r="H55" s="453">
        <f t="shared" si="25"/>
        <v>555540.27446596324</v>
      </c>
      <c r="I55" s="473">
        <f t="shared" si="26"/>
        <v>0</v>
      </c>
      <c r="J55" s="473"/>
      <c r="K55" s="485"/>
      <c r="L55" s="476">
        <f t="shared" si="27"/>
        <v>0</v>
      </c>
      <c r="M55" s="485"/>
      <c r="N55" s="476">
        <f t="shared" si="28"/>
        <v>0</v>
      </c>
      <c r="O55" s="476">
        <f t="shared" si="29"/>
        <v>0</v>
      </c>
      <c r="P55" s="241"/>
    </row>
    <row r="56" spans="2:16" ht="12.5">
      <c r="B56" s="160" t="str">
        <f t="shared" si="6"/>
        <v/>
      </c>
      <c r="C56" s="470">
        <f>IF(D11="","-",+C55+1)</f>
        <v>2047</v>
      </c>
      <c r="D56" s="483">
        <f>IF(F55+SUM(E$17:E55)=D$10,F55,D$10-SUM(E$17:E55))</f>
        <v>1327214.273460499</v>
      </c>
      <c r="E56" s="482">
        <f>IF(+I14&lt;F55,I14,D56)</f>
        <v>374759.89743589744</v>
      </c>
      <c r="F56" s="483">
        <f t="shared" si="23"/>
        <v>952454.37602460152</v>
      </c>
      <c r="G56" s="484">
        <f t="shared" si="24"/>
        <v>510809.32635976595</v>
      </c>
      <c r="H56" s="453">
        <f t="shared" si="25"/>
        <v>510809.32635976595</v>
      </c>
      <c r="I56" s="473">
        <f t="shared" si="26"/>
        <v>0</v>
      </c>
      <c r="J56" s="473"/>
      <c r="K56" s="485"/>
      <c r="L56" s="476">
        <f t="shared" si="27"/>
        <v>0</v>
      </c>
      <c r="M56" s="485"/>
      <c r="N56" s="476">
        <f t="shared" si="28"/>
        <v>0</v>
      </c>
      <c r="O56" s="476">
        <f t="shared" si="29"/>
        <v>0</v>
      </c>
      <c r="P56" s="241"/>
    </row>
    <row r="57" spans="2:16" ht="12.5">
      <c r="B57" s="160" t="str">
        <f t="shared" si="6"/>
        <v/>
      </c>
      <c r="C57" s="470">
        <f>IF(D11="","-",+C56+1)</f>
        <v>2048</v>
      </c>
      <c r="D57" s="483">
        <f>IF(F56+SUM(E$17:E56)=D$10,F56,D$10-SUM(E$17:E56))</f>
        <v>952454.37602460152</v>
      </c>
      <c r="E57" s="482">
        <f>IF(+I14&lt;F56,I14,D57)</f>
        <v>374759.89743589744</v>
      </c>
      <c r="F57" s="483">
        <f t="shared" si="23"/>
        <v>577694.47858870402</v>
      </c>
      <c r="G57" s="484">
        <f t="shared" si="24"/>
        <v>466078.37825356872</v>
      </c>
      <c r="H57" s="453">
        <f t="shared" si="25"/>
        <v>466078.37825356872</v>
      </c>
      <c r="I57" s="473">
        <f t="shared" si="26"/>
        <v>0</v>
      </c>
      <c r="J57" s="473"/>
      <c r="K57" s="485"/>
      <c r="L57" s="476">
        <f t="shared" si="27"/>
        <v>0</v>
      </c>
      <c r="M57" s="485"/>
      <c r="N57" s="476">
        <f t="shared" si="28"/>
        <v>0</v>
      </c>
      <c r="O57" s="476">
        <f t="shared" si="29"/>
        <v>0</v>
      </c>
      <c r="P57" s="241"/>
    </row>
    <row r="58" spans="2:16" ht="12.5">
      <c r="B58" s="160" t="str">
        <f t="shared" si="6"/>
        <v/>
      </c>
      <c r="C58" s="470">
        <f>IF(D11="","-",+C57+1)</f>
        <v>2049</v>
      </c>
      <c r="D58" s="483">
        <f>IF(F57+SUM(E$17:E57)=D$10,F57,D$10-SUM(E$17:E57))</f>
        <v>577694.47858870402</v>
      </c>
      <c r="E58" s="482">
        <f>IF(+I14&lt;F57,I14,D58)</f>
        <v>374759.89743589744</v>
      </c>
      <c r="F58" s="483">
        <f t="shared" si="23"/>
        <v>202934.58115280658</v>
      </c>
      <c r="G58" s="484">
        <f t="shared" si="24"/>
        <v>421347.43014737149</v>
      </c>
      <c r="H58" s="453">
        <f t="shared" si="25"/>
        <v>421347.43014737149</v>
      </c>
      <c r="I58" s="473">
        <f t="shared" si="26"/>
        <v>0</v>
      </c>
      <c r="J58" s="473"/>
      <c r="K58" s="485"/>
      <c r="L58" s="476">
        <f t="shared" si="27"/>
        <v>0</v>
      </c>
      <c r="M58" s="485"/>
      <c r="N58" s="476">
        <f t="shared" si="28"/>
        <v>0</v>
      </c>
      <c r="O58" s="476">
        <f t="shared" si="29"/>
        <v>0</v>
      </c>
      <c r="P58" s="241"/>
    </row>
    <row r="59" spans="2:16" ht="12.5">
      <c r="B59" s="160" t="str">
        <f t="shared" si="6"/>
        <v/>
      </c>
      <c r="C59" s="470">
        <f>IF(D11="","-",+C58+1)</f>
        <v>2050</v>
      </c>
      <c r="D59" s="483">
        <f>IF(F58+SUM(E$17:E58)=D$10,F58,D$10-SUM(E$17:E58))</f>
        <v>202934.58115280658</v>
      </c>
      <c r="E59" s="482">
        <f>IF(+I14&lt;F58,I14,D59)</f>
        <v>202934.58115280658</v>
      </c>
      <c r="F59" s="483">
        <f t="shared" si="23"/>
        <v>0</v>
      </c>
      <c r="G59" s="484">
        <f t="shared" si="24"/>
        <v>215045.61048199428</v>
      </c>
      <c r="H59" s="453">
        <f t="shared" si="25"/>
        <v>215045.61048199428</v>
      </c>
      <c r="I59" s="473">
        <f t="shared" si="26"/>
        <v>0</v>
      </c>
      <c r="J59" s="473"/>
      <c r="K59" s="485"/>
      <c r="L59" s="476">
        <f t="shared" si="27"/>
        <v>0</v>
      </c>
      <c r="M59" s="485"/>
      <c r="N59" s="476">
        <f t="shared" si="28"/>
        <v>0</v>
      </c>
      <c r="O59" s="476">
        <f t="shared" si="29"/>
        <v>0</v>
      </c>
      <c r="P59" s="241"/>
    </row>
    <row r="60" spans="2:16" ht="12.5">
      <c r="B60" s="160" t="str">
        <f t="shared" si="6"/>
        <v/>
      </c>
      <c r="C60" s="470">
        <f>IF(D11="","-",+C59+1)</f>
        <v>2051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3"/>
        <v>0</v>
      </c>
      <c r="G60" s="484">
        <f t="shared" si="24"/>
        <v>0</v>
      </c>
      <c r="H60" s="453">
        <f t="shared" si="25"/>
        <v>0</v>
      </c>
      <c r="I60" s="473">
        <f t="shared" si="26"/>
        <v>0</v>
      </c>
      <c r="J60" s="473"/>
      <c r="K60" s="485"/>
      <c r="L60" s="476">
        <f t="shared" si="27"/>
        <v>0</v>
      </c>
      <c r="M60" s="485"/>
      <c r="N60" s="476">
        <f t="shared" si="28"/>
        <v>0</v>
      </c>
      <c r="O60" s="476">
        <f t="shared" si="29"/>
        <v>0</v>
      </c>
      <c r="P60" s="241"/>
    </row>
    <row r="61" spans="2:16" ht="12.5">
      <c r="B61" s="160" t="str">
        <f t="shared" si="6"/>
        <v/>
      </c>
      <c r="C61" s="470">
        <f>IF(D11="","-",+C60+1)</f>
        <v>2052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3"/>
        <v>0</v>
      </c>
      <c r="G61" s="484">
        <f t="shared" si="24"/>
        <v>0</v>
      </c>
      <c r="H61" s="453">
        <f t="shared" si="25"/>
        <v>0</v>
      </c>
      <c r="I61" s="473">
        <f t="shared" si="26"/>
        <v>0</v>
      </c>
      <c r="J61" s="473"/>
      <c r="K61" s="485"/>
      <c r="L61" s="476">
        <f t="shared" si="27"/>
        <v>0</v>
      </c>
      <c r="M61" s="485"/>
      <c r="N61" s="476">
        <f t="shared" si="28"/>
        <v>0</v>
      </c>
      <c r="O61" s="476">
        <f t="shared" si="29"/>
        <v>0</v>
      </c>
      <c r="P61" s="241"/>
    </row>
    <row r="62" spans="2:16" ht="12.5">
      <c r="B62" s="160" t="str">
        <f t="shared" si="6"/>
        <v/>
      </c>
      <c r="C62" s="470">
        <f>IF(D11="","-",+C61+1)</f>
        <v>2053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3"/>
        <v>0</v>
      </c>
      <c r="G62" s="484">
        <f t="shared" si="24"/>
        <v>0</v>
      </c>
      <c r="H62" s="453">
        <f t="shared" si="25"/>
        <v>0</v>
      </c>
      <c r="I62" s="473">
        <f t="shared" si="26"/>
        <v>0</v>
      </c>
      <c r="J62" s="473"/>
      <c r="K62" s="485"/>
      <c r="L62" s="476">
        <f t="shared" si="27"/>
        <v>0</v>
      </c>
      <c r="M62" s="485"/>
      <c r="N62" s="476">
        <f t="shared" si="28"/>
        <v>0</v>
      </c>
      <c r="O62" s="476">
        <f t="shared" si="29"/>
        <v>0</v>
      </c>
      <c r="P62" s="241"/>
    </row>
    <row r="63" spans="2:16" ht="12.5">
      <c r="B63" s="160" t="str">
        <f t="shared" si="6"/>
        <v/>
      </c>
      <c r="C63" s="470">
        <f>IF(D11="","-",+C62+1)</f>
        <v>2054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3"/>
        <v>0</v>
      </c>
      <c r="G63" s="484">
        <f t="shared" si="24"/>
        <v>0</v>
      </c>
      <c r="H63" s="453">
        <f t="shared" si="25"/>
        <v>0</v>
      </c>
      <c r="I63" s="473">
        <f t="shared" si="26"/>
        <v>0</v>
      </c>
      <c r="J63" s="473"/>
      <c r="K63" s="485"/>
      <c r="L63" s="476">
        <f t="shared" si="27"/>
        <v>0</v>
      </c>
      <c r="M63" s="485"/>
      <c r="N63" s="476">
        <f t="shared" si="28"/>
        <v>0</v>
      </c>
      <c r="O63" s="476">
        <f t="shared" si="29"/>
        <v>0</v>
      </c>
      <c r="P63" s="241"/>
    </row>
    <row r="64" spans="2:16" ht="12.5">
      <c r="B64" s="160" t="str">
        <f t="shared" si="6"/>
        <v/>
      </c>
      <c r="C64" s="470">
        <f>IF(D11="","-",+C63+1)</f>
        <v>2055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3"/>
        <v>0</v>
      </c>
      <c r="G64" s="484">
        <f t="shared" si="24"/>
        <v>0</v>
      </c>
      <c r="H64" s="453">
        <f t="shared" si="25"/>
        <v>0</v>
      </c>
      <c r="I64" s="473">
        <f t="shared" si="26"/>
        <v>0</v>
      </c>
      <c r="J64" s="473"/>
      <c r="K64" s="485"/>
      <c r="L64" s="476">
        <f t="shared" si="27"/>
        <v>0</v>
      </c>
      <c r="M64" s="485"/>
      <c r="N64" s="476">
        <f t="shared" si="28"/>
        <v>0</v>
      </c>
      <c r="O64" s="476">
        <f t="shared" si="29"/>
        <v>0</v>
      </c>
      <c r="P64" s="241"/>
    </row>
    <row r="65" spans="2:16" ht="12.5">
      <c r="B65" s="160" t="str">
        <f t="shared" si="6"/>
        <v/>
      </c>
      <c r="C65" s="470">
        <f>IF(D11="","-",+C64+1)</f>
        <v>2056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3"/>
        <v>0</v>
      </c>
      <c r="G65" s="484">
        <f t="shared" si="24"/>
        <v>0</v>
      </c>
      <c r="H65" s="453">
        <f t="shared" si="25"/>
        <v>0</v>
      </c>
      <c r="I65" s="473">
        <f t="shared" si="26"/>
        <v>0</v>
      </c>
      <c r="J65" s="473"/>
      <c r="K65" s="485"/>
      <c r="L65" s="476">
        <f t="shared" si="27"/>
        <v>0</v>
      </c>
      <c r="M65" s="485"/>
      <c r="N65" s="476">
        <f t="shared" si="28"/>
        <v>0</v>
      </c>
      <c r="O65" s="476">
        <f t="shared" si="29"/>
        <v>0</v>
      </c>
      <c r="P65" s="241"/>
    </row>
    <row r="66" spans="2:16" ht="12.5">
      <c r="B66" s="160" t="str">
        <f t="shared" si="6"/>
        <v/>
      </c>
      <c r="C66" s="470">
        <f>IF(D11="","-",+C65+1)</f>
        <v>2057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3"/>
        <v>0</v>
      </c>
      <c r="G66" s="484">
        <f t="shared" si="24"/>
        <v>0</v>
      </c>
      <c r="H66" s="453">
        <f t="shared" si="25"/>
        <v>0</v>
      </c>
      <c r="I66" s="473">
        <f t="shared" si="26"/>
        <v>0</v>
      </c>
      <c r="J66" s="473"/>
      <c r="K66" s="485"/>
      <c r="L66" s="476">
        <f t="shared" si="27"/>
        <v>0</v>
      </c>
      <c r="M66" s="485"/>
      <c r="N66" s="476">
        <f t="shared" si="28"/>
        <v>0</v>
      </c>
      <c r="O66" s="476">
        <f t="shared" si="29"/>
        <v>0</v>
      </c>
      <c r="P66" s="241"/>
    </row>
    <row r="67" spans="2:16" ht="12.5">
      <c r="B67" s="160" t="str">
        <f t="shared" si="6"/>
        <v/>
      </c>
      <c r="C67" s="470">
        <f>IF(D11="","-",+C66+1)</f>
        <v>2058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3"/>
        <v>0</v>
      </c>
      <c r="G67" s="484">
        <f t="shared" si="24"/>
        <v>0</v>
      </c>
      <c r="H67" s="453">
        <f t="shared" si="25"/>
        <v>0</v>
      </c>
      <c r="I67" s="473">
        <f t="shared" si="26"/>
        <v>0</v>
      </c>
      <c r="J67" s="473"/>
      <c r="K67" s="485"/>
      <c r="L67" s="476">
        <f t="shared" si="27"/>
        <v>0</v>
      </c>
      <c r="M67" s="485"/>
      <c r="N67" s="476">
        <f t="shared" si="28"/>
        <v>0</v>
      </c>
      <c r="O67" s="476">
        <f t="shared" si="29"/>
        <v>0</v>
      </c>
      <c r="P67" s="241"/>
    </row>
    <row r="68" spans="2:16" ht="12.5">
      <c r="B68" s="160" t="str">
        <f t="shared" si="6"/>
        <v/>
      </c>
      <c r="C68" s="470">
        <f>IF(D11="","-",+C67+1)</f>
        <v>2059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3"/>
        <v>0</v>
      </c>
      <c r="G68" s="484">
        <f t="shared" si="24"/>
        <v>0</v>
      </c>
      <c r="H68" s="453">
        <f t="shared" si="25"/>
        <v>0</v>
      </c>
      <c r="I68" s="473">
        <f t="shared" si="26"/>
        <v>0</v>
      </c>
      <c r="J68" s="473"/>
      <c r="K68" s="485"/>
      <c r="L68" s="476">
        <f t="shared" si="27"/>
        <v>0</v>
      </c>
      <c r="M68" s="485"/>
      <c r="N68" s="476">
        <f t="shared" si="28"/>
        <v>0</v>
      </c>
      <c r="O68" s="476">
        <f t="shared" si="29"/>
        <v>0</v>
      </c>
      <c r="P68" s="241"/>
    </row>
    <row r="69" spans="2:16" ht="12.5">
      <c r="B69" s="160" t="str">
        <f t="shared" si="6"/>
        <v/>
      </c>
      <c r="C69" s="470">
        <f>IF(D11="","-",+C68+1)</f>
        <v>2060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3"/>
        <v>0</v>
      </c>
      <c r="G69" s="484">
        <f t="shared" si="24"/>
        <v>0</v>
      </c>
      <c r="H69" s="453">
        <f t="shared" si="25"/>
        <v>0</v>
      </c>
      <c r="I69" s="473">
        <f t="shared" si="26"/>
        <v>0</v>
      </c>
      <c r="J69" s="473"/>
      <c r="K69" s="485"/>
      <c r="L69" s="476">
        <f t="shared" si="27"/>
        <v>0</v>
      </c>
      <c r="M69" s="485"/>
      <c r="N69" s="476">
        <f t="shared" si="28"/>
        <v>0</v>
      </c>
      <c r="O69" s="476">
        <f t="shared" si="29"/>
        <v>0</v>
      </c>
      <c r="P69" s="241"/>
    </row>
    <row r="70" spans="2:16" ht="12.5">
      <c r="B70" s="160" t="str">
        <f t="shared" si="6"/>
        <v/>
      </c>
      <c r="C70" s="470">
        <f>IF(D11="","-",+C69+1)</f>
        <v>2061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3"/>
        <v>0</v>
      </c>
      <c r="G70" s="484">
        <f t="shared" si="24"/>
        <v>0</v>
      </c>
      <c r="H70" s="453">
        <f t="shared" si="25"/>
        <v>0</v>
      </c>
      <c r="I70" s="473">
        <f t="shared" si="26"/>
        <v>0</v>
      </c>
      <c r="J70" s="473"/>
      <c r="K70" s="485"/>
      <c r="L70" s="476">
        <f t="shared" si="27"/>
        <v>0</v>
      </c>
      <c r="M70" s="485"/>
      <c r="N70" s="476">
        <f t="shared" si="28"/>
        <v>0</v>
      </c>
      <c r="O70" s="476">
        <f t="shared" si="29"/>
        <v>0</v>
      </c>
      <c r="P70" s="241"/>
    </row>
    <row r="71" spans="2:16" ht="12.5">
      <c r="B71" s="160" t="str">
        <f t="shared" si="6"/>
        <v/>
      </c>
      <c r="C71" s="470">
        <f>IF(D11="","-",+C70+1)</f>
        <v>2062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3"/>
        <v>0</v>
      </c>
      <c r="G71" s="484">
        <f t="shared" si="24"/>
        <v>0</v>
      </c>
      <c r="H71" s="453">
        <f t="shared" si="25"/>
        <v>0</v>
      </c>
      <c r="I71" s="473">
        <f t="shared" si="26"/>
        <v>0</v>
      </c>
      <c r="J71" s="473"/>
      <c r="K71" s="485"/>
      <c r="L71" s="476">
        <f t="shared" si="27"/>
        <v>0</v>
      </c>
      <c r="M71" s="485"/>
      <c r="N71" s="476">
        <f t="shared" si="28"/>
        <v>0</v>
      </c>
      <c r="O71" s="476">
        <f t="shared" si="29"/>
        <v>0</v>
      </c>
      <c r="P71" s="241"/>
    </row>
    <row r="72" spans="2:16" ht="13" thickBot="1">
      <c r="B72" s="160" t="str">
        <f t="shared" si="6"/>
        <v/>
      </c>
      <c r="C72" s="487">
        <f>IF(D11="","-",+C71+1)</f>
        <v>2063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3"/>
        <v>0</v>
      </c>
      <c r="G72" s="488">
        <f t="shared" si="24"/>
        <v>0</v>
      </c>
      <c r="H72" s="488">
        <f t="shared" si="25"/>
        <v>0</v>
      </c>
      <c r="I72" s="491">
        <f t="shared" si="26"/>
        <v>0</v>
      </c>
      <c r="J72" s="473"/>
      <c r="K72" s="492"/>
      <c r="L72" s="493">
        <f t="shared" si="27"/>
        <v>0</v>
      </c>
      <c r="M72" s="492"/>
      <c r="N72" s="493">
        <f t="shared" si="28"/>
        <v>0</v>
      </c>
      <c r="O72" s="493">
        <f t="shared" si="29"/>
        <v>0</v>
      </c>
      <c r="P72" s="241"/>
    </row>
    <row r="73" spans="2:16" ht="12.5">
      <c r="C73" s="345" t="s">
        <v>77</v>
      </c>
      <c r="D73" s="346"/>
      <c r="E73" s="346">
        <f>SUM(E17:E72)</f>
        <v>14615636.000000004</v>
      </c>
      <c r="F73" s="346"/>
      <c r="G73" s="346">
        <f>SUM(G17:G72)</f>
        <v>54750437.815445185</v>
      </c>
      <c r="H73" s="346">
        <f>SUM(H17:H72)</f>
        <v>54750437.815445185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4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 t="str">
        <f>O4</f>
        <v>WFEC DA Adjustment</v>
      </c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IF(J92&lt;D11,0,VLOOKUP(J92,C17:O72,9))-P87</f>
        <v>1546298.0974358974</v>
      </c>
      <c r="N87" s="506">
        <f>IF(J92&lt;D11,0,VLOOKUP(J92,C17:O72,11))-P87</f>
        <v>1546298.0974358974</v>
      </c>
      <c r="O87" s="507">
        <f>+N87-M87</f>
        <v>0</v>
      </c>
      <c r="P87" s="341">
        <f>O5</f>
        <v>15688.800000000001</v>
      </c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IF(J92&lt;D11,0,VLOOKUP(J92,C99:P154,6))-P87</f>
        <v>1505705.8682639645</v>
      </c>
      <c r="N88" s="510">
        <f>IF(J92&lt;D11,0,VLOOKUP(J92,C99:P154,7))-P87</f>
        <v>1505705.8682639645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Cache-Snyder to Altus Jct. 138 kV line (w/2 ring bus stations)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-40592.229171932908</v>
      </c>
      <c r="N89" s="515">
        <f>+N88-N87</f>
        <v>-40592.229171932908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TP2004147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+D10</f>
        <v>14615636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7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384622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558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2008</v>
      </c>
      <c r="D99" s="471">
        <v>0</v>
      </c>
      <c r="E99" s="478">
        <v>114341</v>
      </c>
      <c r="F99" s="477">
        <v>14429811</v>
      </c>
      <c r="G99" s="535">
        <f t="shared" ref="G99:G130" si="30">+(F99+D99)/2</f>
        <v>7214905.5</v>
      </c>
      <c r="H99" s="536">
        <v>1260396</v>
      </c>
      <c r="I99" s="537">
        <v>1260396</v>
      </c>
      <c r="J99" s="476">
        <f t="shared" ref="J99:J131" si="31">+I99-H99</f>
        <v>0</v>
      </c>
      <c r="K99" s="476"/>
      <c r="L99" s="552">
        <v>1260396</v>
      </c>
      <c r="M99" s="475">
        <f t="shared" ref="M99:M130" si="32">IF(L99&lt;&gt;0,+H99-L99,0)</f>
        <v>0</v>
      </c>
      <c r="N99" s="552">
        <f>+L99</f>
        <v>1260396</v>
      </c>
      <c r="O99" s="475">
        <f t="shared" ref="O99:O130" si="33">IF(N99&lt;&gt;0,+I99-N99,0)</f>
        <v>0</v>
      </c>
      <c r="P99" s="475">
        <f t="shared" ref="P99:P130" si="34">+O99-M99</f>
        <v>0</v>
      </c>
    </row>
    <row r="100" spans="1:16" ht="12.5">
      <c r="B100" s="160" t="str">
        <f>IF(D100=F99,"","IU")</f>
        <v>IU</v>
      </c>
      <c r="C100" s="470">
        <f>IF(D93="","-",+C99+1)</f>
        <v>2009</v>
      </c>
      <c r="D100" s="471">
        <v>14569170</v>
      </c>
      <c r="E100" s="478">
        <v>262206</v>
      </c>
      <c r="F100" s="477">
        <v>14306964</v>
      </c>
      <c r="G100" s="477">
        <v>14438067</v>
      </c>
      <c r="H100" s="478">
        <v>2373171</v>
      </c>
      <c r="I100" s="479">
        <v>2373171</v>
      </c>
      <c r="J100" s="476">
        <f t="shared" si="31"/>
        <v>0</v>
      </c>
      <c r="K100" s="476"/>
      <c r="L100" s="474">
        <f t="shared" ref="L100:L105" si="35">H100</f>
        <v>2373171</v>
      </c>
      <c r="M100" s="476">
        <f t="shared" si="32"/>
        <v>0</v>
      </c>
      <c r="N100" s="474">
        <f t="shared" ref="N100:N105" si="36">I100</f>
        <v>2373171</v>
      </c>
      <c r="O100" s="476">
        <f t="shared" si="33"/>
        <v>0</v>
      </c>
      <c r="P100" s="476">
        <f t="shared" si="34"/>
        <v>0</v>
      </c>
    </row>
    <row r="101" spans="1:16" ht="12.5">
      <c r="B101" s="160" t="str">
        <f t="shared" ref="B101:B154" si="37">IF(D101=F100,"","IU")</f>
        <v>IU</v>
      </c>
      <c r="C101" s="470">
        <f>IF(D93="","-",+C100+1)</f>
        <v>2010</v>
      </c>
      <c r="D101" s="471">
        <v>14239089</v>
      </c>
      <c r="E101" s="478">
        <v>286581</v>
      </c>
      <c r="F101" s="477">
        <v>13952508</v>
      </c>
      <c r="G101" s="477">
        <v>14095798.5</v>
      </c>
      <c r="H101" s="478">
        <v>2553400</v>
      </c>
      <c r="I101" s="479">
        <v>2553400</v>
      </c>
      <c r="J101" s="476">
        <f t="shared" si="31"/>
        <v>0</v>
      </c>
      <c r="K101" s="476"/>
      <c r="L101" s="538">
        <f t="shared" si="35"/>
        <v>2553400</v>
      </c>
      <c r="M101" s="539">
        <f t="shared" si="32"/>
        <v>0</v>
      </c>
      <c r="N101" s="538">
        <f t="shared" si="36"/>
        <v>2553400</v>
      </c>
      <c r="O101" s="476">
        <f t="shared" si="33"/>
        <v>0</v>
      </c>
      <c r="P101" s="476">
        <f t="shared" si="34"/>
        <v>0</v>
      </c>
    </row>
    <row r="102" spans="1:16" ht="12.5">
      <c r="B102" s="160" t="str">
        <f t="shared" si="37"/>
        <v/>
      </c>
      <c r="C102" s="470">
        <f>IF(D93="","-",+C101+1)</f>
        <v>2011</v>
      </c>
      <c r="D102" s="471">
        <v>13952508</v>
      </c>
      <c r="E102" s="478">
        <v>281070</v>
      </c>
      <c r="F102" s="477">
        <v>13671438</v>
      </c>
      <c r="G102" s="477">
        <v>13811973</v>
      </c>
      <c r="H102" s="478">
        <v>2212169</v>
      </c>
      <c r="I102" s="479">
        <v>2212169</v>
      </c>
      <c r="J102" s="476">
        <f t="shared" si="31"/>
        <v>0</v>
      </c>
      <c r="K102" s="476"/>
      <c r="L102" s="538">
        <f t="shared" si="35"/>
        <v>2212169</v>
      </c>
      <c r="M102" s="539">
        <f t="shared" si="32"/>
        <v>0</v>
      </c>
      <c r="N102" s="538">
        <f t="shared" si="36"/>
        <v>2212169</v>
      </c>
      <c r="O102" s="476">
        <f t="shared" si="33"/>
        <v>0</v>
      </c>
      <c r="P102" s="476">
        <f t="shared" si="34"/>
        <v>0</v>
      </c>
    </row>
    <row r="103" spans="1:16" ht="12.5">
      <c r="B103" s="160" t="str">
        <f t="shared" si="37"/>
        <v/>
      </c>
      <c r="C103" s="470">
        <f>IF(D93="","-",+C102+1)</f>
        <v>2012</v>
      </c>
      <c r="D103" s="471">
        <v>13671438</v>
      </c>
      <c r="E103" s="478">
        <v>281070</v>
      </c>
      <c r="F103" s="477">
        <v>13390368</v>
      </c>
      <c r="G103" s="477">
        <v>13530903</v>
      </c>
      <c r="H103" s="478">
        <v>2227565</v>
      </c>
      <c r="I103" s="479">
        <v>2227565</v>
      </c>
      <c r="J103" s="476">
        <v>0</v>
      </c>
      <c r="K103" s="476"/>
      <c r="L103" s="538">
        <f t="shared" si="35"/>
        <v>2227565</v>
      </c>
      <c r="M103" s="539">
        <f t="shared" ref="M103:M108" si="38">IF(L103&lt;&gt;0,+H103-L103,0)</f>
        <v>0</v>
      </c>
      <c r="N103" s="538">
        <f t="shared" si="36"/>
        <v>2227565</v>
      </c>
      <c r="O103" s="476">
        <f t="shared" ref="O103:O108" si="39">IF(N103&lt;&gt;0,+I103-N103,0)</f>
        <v>0</v>
      </c>
      <c r="P103" s="476">
        <f t="shared" ref="P103:P108" si="40">+O103-M103</f>
        <v>0</v>
      </c>
    </row>
    <row r="104" spans="1:16" ht="12.5">
      <c r="B104" s="160" t="str">
        <f t="shared" si="37"/>
        <v/>
      </c>
      <c r="C104" s="470">
        <f>IF(D93="","-",+C103+1)</f>
        <v>2013</v>
      </c>
      <c r="D104" s="471">
        <v>13390368</v>
      </c>
      <c r="E104" s="478">
        <v>281070</v>
      </c>
      <c r="F104" s="477">
        <v>13109298</v>
      </c>
      <c r="G104" s="477">
        <v>13249833</v>
      </c>
      <c r="H104" s="478">
        <v>2188246</v>
      </c>
      <c r="I104" s="479">
        <v>2188246</v>
      </c>
      <c r="J104" s="476">
        <v>0</v>
      </c>
      <c r="K104" s="476"/>
      <c r="L104" s="538">
        <f t="shared" si="35"/>
        <v>2188246</v>
      </c>
      <c r="M104" s="539">
        <f t="shared" si="38"/>
        <v>0</v>
      </c>
      <c r="N104" s="538">
        <f t="shared" si="36"/>
        <v>2188246</v>
      </c>
      <c r="O104" s="476">
        <f t="shared" si="39"/>
        <v>0</v>
      </c>
      <c r="P104" s="476">
        <f t="shared" si="40"/>
        <v>0</v>
      </c>
    </row>
    <row r="105" spans="1:16" ht="12.5">
      <c r="B105" s="160" t="str">
        <f t="shared" si="37"/>
        <v/>
      </c>
      <c r="C105" s="470">
        <f>IF(D93="","-",+C104+1)</f>
        <v>2014</v>
      </c>
      <c r="D105" s="471">
        <v>13109298</v>
      </c>
      <c r="E105" s="478">
        <v>281070</v>
      </c>
      <c r="F105" s="477">
        <v>12828228</v>
      </c>
      <c r="G105" s="477">
        <v>12968763</v>
      </c>
      <c r="H105" s="478">
        <v>2104425</v>
      </c>
      <c r="I105" s="479">
        <v>2104425</v>
      </c>
      <c r="J105" s="476">
        <v>0</v>
      </c>
      <c r="K105" s="476"/>
      <c r="L105" s="538">
        <f t="shared" si="35"/>
        <v>2104425</v>
      </c>
      <c r="M105" s="539">
        <f t="shared" si="38"/>
        <v>0</v>
      </c>
      <c r="N105" s="538">
        <f t="shared" si="36"/>
        <v>2104425</v>
      </c>
      <c r="O105" s="476">
        <f t="shared" si="39"/>
        <v>0</v>
      </c>
      <c r="P105" s="476">
        <f t="shared" si="40"/>
        <v>0</v>
      </c>
    </row>
    <row r="106" spans="1:16" ht="12.5">
      <c r="B106" s="160" t="str">
        <f t="shared" si="37"/>
        <v/>
      </c>
      <c r="C106" s="470">
        <f>IF(D93="","-",+C105+1)</f>
        <v>2015</v>
      </c>
      <c r="D106" s="471">
        <v>12828228</v>
      </c>
      <c r="E106" s="478">
        <v>281070</v>
      </c>
      <c r="F106" s="477">
        <v>12547158</v>
      </c>
      <c r="G106" s="477">
        <v>12687693</v>
      </c>
      <c r="H106" s="478">
        <v>2012204</v>
      </c>
      <c r="I106" s="479">
        <v>2012204</v>
      </c>
      <c r="J106" s="476">
        <f t="shared" si="31"/>
        <v>0</v>
      </c>
      <c r="K106" s="476"/>
      <c r="L106" s="538">
        <f t="shared" ref="L106:L111" si="41">H106</f>
        <v>2012204</v>
      </c>
      <c r="M106" s="539">
        <f t="shared" si="38"/>
        <v>0</v>
      </c>
      <c r="N106" s="538">
        <f t="shared" ref="N106:N111" si="42">I106</f>
        <v>2012204</v>
      </c>
      <c r="O106" s="476">
        <f t="shared" si="39"/>
        <v>0</v>
      </c>
      <c r="P106" s="476">
        <f t="shared" si="40"/>
        <v>0</v>
      </c>
    </row>
    <row r="107" spans="1:16" ht="12.5">
      <c r="B107" s="160" t="str">
        <f t="shared" si="37"/>
        <v/>
      </c>
      <c r="C107" s="470">
        <f>IF(D93="","-",+C106+1)</f>
        <v>2016</v>
      </c>
      <c r="D107" s="471">
        <v>12547158</v>
      </c>
      <c r="E107" s="478">
        <v>317731</v>
      </c>
      <c r="F107" s="477">
        <v>12229427</v>
      </c>
      <c r="G107" s="477">
        <v>12388292.5</v>
      </c>
      <c r="H107" s="478">
        <v>1914777</v>
      </c>
      <c r="I107" s="479">
        <v>1914777</v>
      </c>
      <c r="J107" s="476">
        <f t="shared" si="31"/>
        <v>0</v>
      </c>
      <c r="K107" s="476"/>
      <c r="L107" s="538">
        <f t="shared" si="41"/>
        <v>1914777</v>
      </c>
      <c r="M107" s="539">
        <f t="shared" si="38"/>
        <v>0</v>
      </c>
      <c r="N107" s="538">
        <f t="shared" si="42"/>
        <v>1914777</v>
      </c>
      <c r="O107" s="476">
        <f t="shared" si="39"/>
        <v>0</v>
      </c>
      <c r="P107" s="476">
        <f t="shared" si="40"/>
        <v>0</v>
      </c>
    </row>
    <row r="108" spans="1:16" ht="12.5">
      <c r="B108" s="160" t="str">
        <f t="shared" si="37"/>
        <v/>
      </c>
      <c r="C108" s="470">
        <f>IF(D93="","-",+C107+1)</f>
        <v>2017</v>
      </c>
      <c r="D108" s="471">
        <v>12229427</v>
      </c>
      <c r="E108" s="478">
        <v>317731</v>
      </c>
      <c r="F108" s="477">
        <v>11911696</v>
      </c>
      <c r="G108" s="477">
        <v>12070561.5</v>
      </c>
      <c r="H108" s="478">
        <v>1848912</v>
      </c>
      <c r="I108" s="479">
        <v>1848912</v>
      </c>
      <c r="J108" s="476">
        <f t="shared" si="31"/>
        <v>0</v>
      </c>
      <c r="K108" s="476"/>
      <c r="L108" s="538">
        <f t="shared" si="41"/>
        <v>1848912</v>
      </c>
      <c r="M108" s="539">
        <f t="shared" si="38"/>
        <v>0</v>
      </c>
      <c r="N108" s="538">
        <f t="shared" si="42"/>
        <v>1848912</v>
      </c>
      <c r="O108" s="476">
        <f t="shared" si="39"/>
        <v>0</v>
      </c>
      <c r="P108" s="476">
        <f t="shared" si="40"/>
        <v>0</v>
      </c>
    </row>
    <row r="109" spans="1:16" ht="12.5">
      <c r="B109" s="160" t="str">
        <f t="shared" si="37"/>
        <v/>
      </c>
      <c r="C109" s="470">
        <f>IF(D93="","-",+C108+1)</f>
        <v>2018</v>
      </c>
      <c r="D109" s="471">
        <v>11911696</v>
      </c>
      <c r="E109" s="478">
        <v>339899</v>
      </c>
      <c r="F109" s="477">
        <v>11571797</v>
      </c>
      <c r="G109" s="477">
        <v>11741746.5</v>
      </c>
      <c r="H109" s="478">
        <v>1546194</v>
      </c>
      <c r="I109" s="479">
        <v>1546194</v>
      </c>
      <c r="J109" s="476">
        <f t="shared" si="31"/>
        <v>0</v>
      </c>
      <c r="K109" s="476"/>
      <c r="L109" s="538">
        <f t="shared" si="41"/>
        <v>1546194</v>
      </c>
      <c r="M109" s="539">
        <f t="shared" ref="M109" si="43">IF(L109&lt;&gt;0,+H109-L109,0)</f>
        <v>0</v>
      </c>
      <c r="N109" s="538">
        <f t="shared" si="42"/>
        <v>1546194</v>
      </c>
      <c r="O109" s="476">
        <f t="shared" ref="O109" si="44">IF(N109&lt;&gt;0,+I109-N109,0)</f>
        <v>0</v>
      </c>
      <c r="P109" s="476">
        <f t="shared" ref="P109" si="45">+O109-M109</f>
        <v>0</v>
      </c>
    </row>
    <row r="110" spans="1:16" ht="12.5">
      <c r="B110" s="160" t="str">
        <f t="shared" si="37"/>
        <v/>
      </c>
      <c r="C110" s="470">
        <f>IF(D93="","-",+C109+1)</f>
        <v>2019</v>
      </c>
      <c r="D110" s="471">
        <v>11571797</v>
      </c>
      <c r="E110" s="478">
        <v>356479</v>
      </c>
      <c r="F110" s="477">
        <v>11215318</v>
      </c>
      <c r="G110" s="477">
        <v>11393557.5</v>
      </c>
      <c r="H110" s="478">
        <v>1531315</v>
      </c>
      <c r="I110" s="479">
        <v>1531315</v>
      </c>
      <c r="J110" s="476">
        <f t="shared" si="31"/>
        <v>0</v>
      </c>
      <c r="K110" s="476"/>
      <c r="L110" s="538">
        <f t="shared" si="41"/>
        <v>1531315</v>
      </c>
      <c r="M110" s="539">
        <f t="shared" ref="M110" si="46">IF(L110&lt;&gt;0,+H110-L110,0)</f>
        <v>0</v>
      </c>
      <c r="N110" s="538">
        <f t="shared" si="42"/>
        <v>1531315</v>
      </c>
      <c r="O110" s="476">
        <f t="shared" si="33"/>
        <v>0</v>
      </c>
      <c r="P110" s="476">
        <f t="shared" si="34"/>
        <v>0</v>
      </c>
    </row>
    <row r="111" spans="1:16" ht="12.5">
      <c r="B111" s="160" t="str">
        <f t="shared" si="37"/>
        <v/>
      </c>
      <c r="C111" s="470">
        <f>IF(D93="","-",+C110+1)</f>
        <v>2020</v>
      </c>
      <c r="D111" s="471">
        <v>11215318</v>
      </c>
      <c r="E111" s="478">
        <v>339899</v>
      </c>
      <c r="F111" s="477">
        <v>10875419</v>
      </c>
      <c r="G111" s="477">
        <v>11045368.5</v>
      </c>
      <c r="H111" s="478">
        <v>1613399.6213131989</v>
      </c>
      <c r="I111" s="479">
        <v>1613399.6213131989</v>
      </c>
      <c r="J111" s="476">
        <f t="shared" si="31"/>
        <v>0</v>
      </c>
      <c r="K111" s="476"/>
      <c r="L111" s="538">
        <f t="shared" si="41"/>
        <v>1613399.6213131989</v>
      </c>
      <c r="M111" s="539">
        <f t="shared" ref="M111" si="47">IF(L111&lt;&gt;0,+H111-L111,0)</f>
        <v>0</v>
      </c>
      <c r="N111" s="538">
        <f t="shared" si="42"/>
        <v>1613399.6213131989</v>
      </c>
      <c r="O111" s="476">
        <f t="shared" si="33"/>
        <v>0</v>
      </c>
      <c r="P111" s="476">
        <f t="shared" si="34"/>
        <v>0</v>
      </c>
    </row>
    <row r="112" spans="1:16" ht="12.5">
      <c r="B112" s="160" t="str">
        <f t="shared" si="37"/>
        <v/>
      </c>
      <c r="C112" s="470">
        <f>IF(D93="","-",+C111+1)</f>
        <v>2021</v>
      </c>
      <c r="D112" s="471">
        <v>10875419</v>
      </c>
      <c r="E112" s="478">
        <v>356479</v>
      </c>
      <c r="F112" s="477">
        <v>10518940</v>
      </c>
      <c r="G112" s="477">
        <v>10697179.5</v>
      </c>
      <c r="H112" s="478">
        <v>1573740.9328639174</v>
      </c>
      <c r="I112" s="479">
        <v>1573740.9328639174</v>
      </c>
      <c r="J112" s="476">
        <f t="shared" si="31"/>
        <v>0</v>
      </c>
      <c r="K112" s="476"/>
      <c r="L112" s="538">
        <f t="shared" ref="L112" si="48">H112</f>
        <v>1573740.9328639174</v>
      </c>
      <c r="M112" s="539">
        <f t="shared" ref="M112" si="49">IF(L112&lt;&gt;0,+H112-L112,0)</f>
        <v>0</v>
      </c>
      <c r="N112" s="538">
        <f t="shared" ref="N112" si="50">I112</f>
        <v>1573740.9328639174</v>
      </c>
      <c r="O112" s="476">
        <f t="shared" si="33"/>
        <v>0</v>
      </c>
      <c r="P112" s="476">
        <f t="shared" si="34"/>
        <v>0</v>
      </c>
    </row>
    <row r="113" spans="2:16" ht="12.5">
      <c r="B113" s="160" t="str">
        <f t="shared" si="37"/>
        <v/>
      </c>
      <c r="C113" s="470">
        <f>IF(D93="","-",+C112+1)</f>
        <v>2022</v>
      </c>
      <c r="D113" s="471">
        <v>10518940</v>
      </c>
      <c r="E113" s="478">
        <v>374760</v>
      </c>
      <c r="F113" s="477">
        <v>10144180</v>
      </c>
      <c r="G113" s="477">
        <v>10331560</v>
      </c>
      <c r="H113" s="478">
        <v>1513118.6891439483</v>
      </c>
      <c r="I113" s="479">
        <v>1513118.6891439483</v>
      </c>
      <c r="J113" s="476">
        <f t="shared" si="31"/>
        <v>0</v>
      </c>
      <c r="K113" s="476"/>
      <c r="L113" s="538">
        <f t="shared" ref="L113" si="51">H113</f>
        <v>1513118.6891439483</v>
      </c>
      <c r="M113" s="539">
        <f t="shared" ref="M113" si="52">IF(L113&lt;&gt;0,+H113-L113,0)</f>
        <v>0</v>
      </c>
      <c r="N113" s="538">
        <f t="shared" ref="N113" si="53">I113</f>
        <v>1513118.6891439483</v>
      </c>
      <c r="O113" s="476">
        <f t="shared" ref="O113" si="54">IF(N113&lt;&gt;0,+I113-N113,0)</f>
        <v>0</v>
      </c>
      <c r="P113" s="476">
        <f t="shared" ref="P113" si="55">+O113-M113</f>
        <v>0</v>
      </c>
    </row>
    <row r="114" spans="2:16" ht="12.5">
      <c r="B114" s="160" t="str">
        <f t="shared" si="37"/>
        <v/>
      </c>
      <c r="C114" s="470">
        <f>IF(D93="","-",+C113+1)</f>
        <v>2023</v>
      </c>
      <c r="D114" s="345">
        <f>IF(F113+SUM(E$99:E113)=D$92,F113,D$92-SUM(E$99:E113))</f>
        <v>10144180</v>
      </c>
      <c r="E114" s="484">
        <f>IF(+J96&lt;F113,J96,D114)</f>
        <v>384622</v>
      </c>
      <c r="F114" s="483">
        <f t="shared" ref="F114:F130" si="56">+D114-E114</f>
        <v>9759558</v>
      </c>
      <c r="G114" s="483">
        <f t="shared" si="30"/>
        <v>9951869</v>
      </c>
      <c r="H114" s="484">
        <f t="shared" ref="H114:H154" si="57">(D114+F114)/2*J$94+E114</f>
        <v>1521394.6682639646</v>
      </c>
      <c r="I114" s="540">
        <f t="shared" ref="I114:I153" si="58">+J$95*G114+E114</f>
        <v>1521394.6682639646</v>
      </c>
      <c r="J114" s="476">
        <f t="shared" si="31"/>
        <v>0</v>
      </c>
      <c r="K114" s="476"/>
      <c r="L114" s="485"/>
      <c r="M114" s="476">
        <f t="shared" si="32"/>
        <v>0</v>
      </c>
      <c r="N114" s="485"/>
      <c r="O114" s="476">
        <f t="shared" si="33"/>
        <v>0</v>
      </c>
      <c r="P114" s="476">
        <f t="shared" si="34"/>
        <v>0</v>
      </c>
    </row>
    <row r="115" spans="2:16" ht="12.5">
      <c r="B115" s="160" t="str">
        <f t="shared" si="37"/>
        <v/>
      </c>
      <c r="C115" s="470">
        <f>IF(D93="","-",+C114+1)</f>
        <v>2024</v>
      </c>
      <c r="D115" s="345">
        <f>IF(F114+SUM(E$99:E114)=D$92,F114,D$92-SUM(E$99:E114))</f>
        <v>9759558</v>
      </c>
      <c r="E115" s="484">
        <f>IF(+J96&lt;F114,J96,D115)</f>
        <v>384622</v>
      </c>
      <c r="F115" s="483">
        <f t="shared" si="56"/>
        <v>9374936</v>
      </c>
      <c r="G115" s="483">
        <f t="shared" si="30"/>
        <v>9567247</v>
      </c>
      <c r="H115" s="484">
        <f t="shared" si="57"/>
        <v>1477460.4306636683</v>
      </c>
      <c r="I115" s="540">
        <f t="shared" si="58"/>
        <v>1477460.4306636683</v>
      </c>
      <c r="J115" s="476">
        <f t="shared" si="31"/>
        <v>0</v>
      </c>
      <c r="K115" s="476"/>
      <c r="L115" s="485"/>
      <c r="M115" s="476">
        <f t="shared" si="32"/>
        <v>0</v>
      </c>
      <c r="N115" s="485"/>
      <c r="O115" s="476">
        <f t="shared" si="33"/>
        <v>0</v>
      </c>
      <c r="P115" s="476">
        <f t="shared" si="34"/>
        <v>0</v>
      </c>
    </row>
    <row r="116" spans="2:16" ht="12.5">
      <c r="B116" s="160" t="str">
        <f t="shared" si="37"/>
        <v/>
      </c>
      <c r="C116" s="470">
        <f>IF(D93="","-",+C115+1)</f>
        <v>2025</v>
      </c>
      <c r="D116" s="345">
        <f>IF(F115+SUM(E$99:E115)=D$92,F115,D$92-SUM(E$99:E115))</f>
        <v>9374936</v>
      </c>
      <c r="E116" s="484">
        <f>IF(+J96&lt;F115,J96,D116)</f>
        <v>384622</v>
      </c>
      <c r="F116" s="483">
        <f t="shared" si="56"/>
        <v>8990314</v>
      </c>
      <c r="G116" s="483">
        <f t="shared" si="30"/>
        <v>9182625</v>
      </c>
      <c r="H116" s="484">
        <f t="shared" si="57"/>
        <v>1433526.193063372</v>
      </c>
      <c r="I116" s="540">
        <f t="shared" si="58"/>
        <v>1433526.193063372</v>
      </c>
      <c r="J116" s="476">
        <f t="shared" si="31"/>
        <v>0</v>
      </c>
      <c r="K116" s="476"/>
      <c r="L116" s="485"/>
      <c r="M116" s="476">
        <f t="shared" si="32"/>
        <v>0</v>
      </c>
      <c r="N116" s="485"/>
      <c r="O116" s="476">
        <f t="shared" si="33"/>
        <v>0</v>
      </c>
      <c r="P116" s="476">
        <f t="shared" si="34"/>
        <v>0</v>
      </c>
    </row>
    <row r="117" spans="2:16" ht="12.5">
      <c r="B117" s="160" t="str">
        <f t="shared" si="37"/>
        <v/>
      </c>
      <c r="C117" s="470">
        <f>IF(D93="","-",+C116+1)</f>
        <v>2026</v>
      </c>
      <c r="D117" s="345">
        <f>IF(F116+SUM(E$99:E116)=D$92,F116,D$92-SUM(E$99:E116))</f>
        <v>8990314</v>
      </c>
      <c r="E117" s="484">
        <f>IF(+J96&lt;F116,J96,D117)</f>
        <v>384622</v>
      </c>
      <c r="F117" s="483">
        <f t="shared" si="56"/>
        <v>8605692</v>
      </c>
      <c r="G117" s="483">
        <f t="shared" si="30"/>
        <v>8798003</v>
      </c>
      <c r="H117" s="484">
        <f t="shared" si="57"/>
        <v>1389591.9554630758</v>
      </c>
      <c r="I117" s="540">
        <f t="shared" si="58"/>
        <v>1389591.9554630758</v>
      </c>
      <c r="J117" s="476">
        <f t="shared" si="31"/>
        <v>0</v>
      </c>
      <c r="K117" s="476"/>
      <c r="L117" s="485"/>
      <c r="M117" s="476">
        <f t="shared" si="32"/>
        <v>0</v>
      </c>
      <c r="N117" s="485"/>
      <c r="O117" s="476">
        <f t="shared" si="33"/>
        <v>0</v>
      </c>
      <c r="P117" s="476">
        <f t="shared" si="34"/>
        <v>0</v>
      </c>
    </row>
    <row r="118" spans="2:16" ht="12.5">
      <c r="B118" s="160" t="str">
        <f t="shared" si="37"/>
        <v/>
      </c>
      <c r="C118" s="470">
        <f>IF(D93="","-",+C117+1)</f>
        <v>2027</v>
      </c>
      <c r="D118" s="345">
        <f>IF(F117+SUM(E$99:E117)=D$92,F117,D$92-SUM(E$99:E117))</f>
        <v>8605692</v>
      </c>
      <c r="E118" s="484">
        <f>IF(+J96&lt;F117,J96,D118)</f>
        <v>384622</v>
      </c>
      <c r="F118" s="483">
        <f t="shared" si="56"/>
        <v>8221070</v>
      </c>
      <c r="G118" s="483">
        <f t="shared" si="30"/>
        <v>8413381</v>
      </c>
      <c r="H118" s="484">
        <f t="shared" si="57"/>
        <v>1345657.7178627795</v>
      </c>
      <c r="I118" s="540">
        <f t="shared" si="58"/>
        <v>1345657.7178627795</v>
      </c>
      <c r="J118" s="476">
        <f t="shared" si="31"/>
        <v>0</v>
      </c>
      <c r="K118" s="476"/>
      <c r="L118" s="485"/>
      <c r="M118" s="476">
        <f t="shared" si="32"/>
        <v>0</v>
      </c>
      <c r="N118" s="485"/>
      <c r="O118" s="476">
        <f t="shared" si="33"/>
        <v>0</v>
      </c>
      <c r="P118" s="476">
        <f t="shared" si="34"/>
        <v>0</v>
      </c>
    </row>
    <row r="119" spans="2:16" ht="12.5">
      <c r="B119" s="160" t="str">
        <f t="shared" si="37"/>
        <v/>
      </c>
      <c r="C119" s="470">
        <f>IF(D93="","-",+C118+1)</f>
        <v>2028</v>
      </c>
      <c r="D119" s="345">
        <f>IF(F118+SUM(E$99:E118)=D$92,F118,D$92-SUM(E$99:E118))</f>
        <v>8221070</v>
      </c>
      <c r="E119" s="484">
        <f>IF(+J96&lt;F118,J96,D119)</f>
        <v>384622</v>
      </c>
      <c r="F119" s="483">
        <f t="shared" si="56"/>
        <v>7836448</v>
      </c>
      <c r="G119" s="483">
        <f t="shared" si="30"/>
        <v>8028759</v>
      </c>
      <c r="H119" s="484">
        <f t="shared" si="57"/>
        <v>1301723.4802624835</v>
      </c>
      <c r="I119" s="540">
        <f t="shared" si="58"/>
        <v>1301723.4802624835</v>
      </c>
      <c r="J119" s="476">
        <f t="shared" si="31"/>
        <v>0</v>
      </c>
      <c r="K119" s="476"/>
      <c r="L119" s="485"/>
      <c r="M119" s="476">
        <f t="shared" si="32"/>
        <v>0</v>
      </c>
      <c r="N119" s="485"/>
      <c r="O119" s="476">
        <f t="shared" si="33"/>
        <v>0</v>
      </c>
      <c r="P119" s="476">
        <f t="shared" si="34"/>
        <v>0</v>
      </c>
    </row>
    <row r="120" spans="2:16" ht="12.5">
      <c r="B120" s="160" t="str">
        <f t="shared" si="37"/>
        <v/>
      </c>
      <c r="C120" s="470">
        <f>IF(D93="","-",+C119+1)</f>
        <v>2029</v>
      </c>
      <c r="D120" s="345">
        <f>IF(F119+SUM(E$99:E119)=D$92,F119,D$92-SUM(E$99:E119))</f>
        <v>7836448</v>
      </c>
      <c r="E120" s="484">
        <f>IF(+J96&lt;F119,J96,D120)</f>
        <v>384622</v>
      </c>
      <c r="F120" s="483">
        <f t="shared" si="56"/>
        <v>7451826</v>
      </c>
      <c r="G120" s="483">
        <f t="shared" si="30"/>
        <v>7644137</v>
      </c>
      <c r="H120" s="484">
        <f t="shared" si="57"/>
        <v>1257789.2426621872</v>
      </c>
      <c r="I120" s="540">
        <f t="shared" si="58"/>
        <v>1257789.2426621872</v>
      </c>
      <c r="J120" s="476">
        <f t="shared" si="31"/>
        <v>0</v>
      </c>
      <c r="K120" s="476"/>
      <c r="L120" s="485"/>
      <c r="M120" s="476">
        <f t="shared" si="32"/>
        <v>0</v>
      </c>
      <c r="N120" s="485"/>
      <c r="O120" s="476">
        <f t="shared" si="33"/>
        <v>0</v>
      </c>
      <c r="P120" s="476">
        <f t="shared" si="34"/>
        <v>0</v>
      </c>
    </row>
    <row r="121" spans="2:16" ht="12.5">
      <c r="B121" s="160" t="str">
        <f t="shared" si="37"/>
        <v/>
      </c>
      <c r="C121" s="470">
        <f>IF(D93="","-",+C120+1)</f>
        <v>2030</v>
      </c>
      <c r="D121" s="345">
        <f>IF(F120+SUM(E$99:E120)=D$92,F120,D$92-SUM(E$99:E120))</f>
        <v>7451826</v>
      </c>
      <c r="E121" s="484">
        <f>IF(+J96&lt;F120,J96,D121)</f>
        <v>384622</v>
      </c>
      <c r="F121" s="483">
        <f t="shared" si="56"/>
        <v>7067204</v>
      </c>
      <c r="G121" s="483">
        <f t="shared" si="30"/>
        <v>7259515</v>
      </c>
      <c r="H121" s="484">
        <f t="shared" si="57"/>
        <v>1213855.0050618909</v>
      </c>
      <c r="I121" s="540">
        <f t="shared" si="58"/>
        <v>1213855.0050618909</v>
      </c>
      <c r="J121" s="476">
        <f t="shared" si="31"/>
        <v>0</v>
      </c>
      <c r="K121" s="476"/>
      <c r="L121" s="485"/>
      <c r="M121" s="476">
        <f t="shared" si="32"/>
        <v>0</v>
      </c>
      <c r="N121" s="485"/>
      <c r="O121" s="476">
        <f t="shared" si="33"/>
        <v>0</v>
      </c>
      <c r="P121" s="476">
        <f t="shared" si="34"/>
        <v>0</v>
      </c>
    </row>
    <row r="122" spans="2:16" ht="12.5">
      <c r="B122" s="160" t="str">
        <f t="shared" si="37"/>
        <v/>
      </c>
      <c r="C122" s="470">
        <f>IF(D93="","-",+C121+1)</f>
        <v>2031</v>
      </c>
      <c r="D122" s="345">
        <f>IF(F121+SUM(E$99:E121)=D$92,F121,D$92-SUM(E$99:E121))</f>
        <v>7067204</v>
      </c>
      <c r="E122" s="484">
        <f>IF(+J96&lt;F121,J96,D122)</f>
        <v>384622</v>
      </c>
      <c r="F122" s="483">
        <f t="shared" si="56"/>
        <v>6682582</v>
      </c>
      <c r="G122" s="483">
        <f t="shared" si="30"/>
        <v>6874893</v>
      </c>
      <c r="H122" s="484">
        <f t="shared" si="57"/>
        <v>1169920.7674615947</v>
      </c>
      <c r="I122" s="540">
        <f t="shared" si="58"/>
        <v>1169920.7674615947</v>
      </c>
      <c r="J122" s="476">
        <f t="shared" si="31"/>
        <v>0</v>
      </c>
      <c r="K122" s="476"/>
      <c r="L122" s="485"/>
      <c r="M122" s="476">
        <f t="shared" si="32"/>
        <v>0</v>
      </c>
      <c r="N122" s="485"/>
      <c r="O122" s="476">
        <f t="shared" si="33"/>
        <v>0</v>
      </c>
      <c r="P122" s="476">
        <f t="shared" si="34"/>
        <v>0</v>
      </c>
    </row>
    <row r="123" spans="2:16" ht="12.5">
      <c r="B123" s="160" t="str">
        <f t="shared" si="37"/>
        <v/>
      </c>
      <c r="C123" s="470">
        <f>IF(D93="","-",+C122+1)</f>
        <v>2032</v>
      </c>
      <c r="D123" s="345">
        <f>IF(F122+SUM(E$99:E122)=D$92,F122,D$92-SUM(E$99:E122))</f>
        <v>6682582</v>
      </c>
      <c r="E123" s="484">
        <f>IF(+J96&lt;F122,J96,D123)</f>
        <v>384622</v>
      </c>
      <c r="F123" s="483">
        <f t="shared" si="56"/>
        <v>6297960</v>
      </c>
      <c r="G123" s="483">
        <f t="shared" si="30"/>
        <v>6490271</v>
      </c>
      <c r="H123" s="484">
        <f t="shared" si="57"/>
        <v>1125986.5298612984</v>
      </c>
      <c r="I123" s="540">
        <f t="shared" si="58"/>
        <v>1125986.5298612984</v>
      </c>
      <c r="J123" s="476">
        <f t="shared" si="31"/>
        <v>0</v>
      </c>
      <c r="K123" s="476"/>
      <c r="L123" s="485"/>
      <c r="M123" s="476">
        <f t="shared" si="32"/>
        <v>0</v>
      </c>
      <c r="N123" s="485"/>
      <c r="O123" s="476">
        <f t="shared" si="33"/>
        <v>0</v>
      </c>
      <c r="P123" s="476">
        <f t="shared" si="34"/>
        <v>0</v>
      </c>
    </row>
    <row r="124" spans="2:16" ht="12.5">
      <c r="B124" s="160" t="str">
        <f t="shared" si="37"/>
        <v/>
      </c>
      <c r="C124" s="470">
        <f>IF(D93="","-",+C123+1)</f>
        <v>2033</v>
      </c>
      <c r="D124" s="345">
        <f>IF(F123+SUM(E$99:E123)=D$92,F123,D$92-SUM(E$99:E123))</f>
        <v>6297960</v>
      </c>
      <c r="E124" s="484">
        <f>IF(+J96&lt;F123,J96,D124)</f>
        <v>384622</v>
      </c>
      <c r="F124" s="483">
        <f t="shared" si="56"/>
        <v>5913338</v>
      </c>
      <c r="G124" s="483">
        <f t="shared" si="30"/>
        <v>6105649</v>
      </c>
      <c r="H124" s="484">
        <f t="shared" si="57"/>
        <v>1082052.2922610021</v>
      </c>
      <c r="I124" s="540">
        <f t="shared" si="58"/>
        <v>1082052.2922610021</v>
      </c>
      <c r="J124" s="476">
        <f t="shared" si="31"/>
        <v>0</v>
      </c>
      <c r="K124" s="476"/>
      <c r="L124" s="485"/>
      <c r="M124" s="476">
        <f t="shared" si="32"/>
        <v>0</v>
      </c>
      <c r="N124" s="485"/>
      <c r="O124" s="476">
        <f t="shared" si="33"/>
        <v>0</v>
      </c>
      <c r="P124" s="476">
        <f t="shared" si="34"/>
        <v>0</v>
      </c>
    </row>
    <row r="125" spans="2:16" ht="12.5">
      <c r="B125" s="160" t="str">
        <f t="shared" si="37"/>
        <v/>
      </c>
      <c r="C125" s="470">
        <f>IF(D93="","-",+C124+1)</f>
        <v>2034</v>
      </c>
      <c r="D125" s="345">
        <f>IF(F124+SUM(E$99:E124)=D$92,F124,D$92-SUM(E$99:E124))</f>
        <v>5913338</v>
      </c>
      <c r="E125" s="484">
        <f>IF(+J96&lt;F124,J96,D125)</f>
        <v>384622</v>
      </c>
      <c r="F125" s="483">
        <f t="shared" si="56"/>
        <v>5528716</v>
      </c>
      <c r="G125" s="483">
        <f t="shared" si="30"/>
        <v>5721027</v>
      </c>
      <c r="H125" s="484">
        <f t="shared" si="57"/>
        <v>1038118.0546607058</v>
      </c>
      <c r="I125" s="540">
        <f t="shared" si="58"/>
        <v>1038118.0546607058</v>
      </c>
      <c r="J125" s="476">
        <f t="shared" si="31"/>
        <v>0</v>
      </c>
      <c r="K125" s="476"/>
      <c r="L125" s="485"/>
      <c r="M125" s="476">
        <f t="shared" si="32"/>
        <v>0</v>
      </c>
      <c r="N125" s="485"/>
      <c r="O125" s="476">
        <f t="shared" si="33"/>
        <v>0</v>
      </c>
      <c r="P125" s="476">
        <f t="shared" si="34"/>
        <v>0</v>
      </c>
    </row>
    <row r="126" spans="2:16" ht="12.5">
      <c r="B126" s="160" t="str">
        <f t="shared" si="37"/>
        <v/>
      </c>
      <c r="C126" s="470">
        <f>IF(D93="","-",+C125+1)</f>
        <v>2035</v>
      </c>
      <c r="D126" s="345">
        <f>IF(F125+SUM(E$99:E125)=D$92,F125,D$92-SUM(E$99:E125))</f>
        <v>5528716</v>
      </c>
      <c r="E126" s="484">
        <f>IF(+J96&lt;F125,J96,D126)</f>
        <v>384622</v>
      </c>
      <c r="F126" s="483">
        <f t="shared" si="56"/>
        <v>5144094</v>
      </c>
      <c r="G126" s="483">
        <f t="shared" si="30"/>
        <v>5336405</v>
      </c>
      <c r="H126" s="484">
        <f t="shared" si="57"/>
        <v>994183.81706040958</v>
      </c>
      <c r="I126" s="540">
        <f t="shared" si="58"/>
        <v>994183.81706040958</v>
      </c>
      <c r="J126" s="476">
        <f t="shared" si="31"/>
        <v>0</v>
      </c>
      <c r="K126" s="476"/>
      <c r="L126" s="485"/>
      <c r="M126" s="476">
        <f t="shared" si="32"/>
        <v>0</v>
      </c>
      <c r="N126" s="485"/>
      <c r="O126" s="476">
        <f t="shared" si="33"/>
        <v>0</v>
      </c>
      <c r="P126" s="476">
        <f t="shared" si="34"/>
        <v>0</v>
      </c>
    </row>
    <row r="127" spans="2:16" ht="12.5">
      <c r="B127" s="160" t="str">
        <f t="shared" si="37"/>
        <v/>
      </c>
      <c r="C127" s="470">
        <f>IF(D93="","-",+C126+1)</f>
        <v>2036</v>
      </c>
      <c r="D127" s="345">
        <f>IF(F126+SUM(E$99:E126)=D$92,F126,D$92-SUM(E$99:E126))</f>
        <v>5144094</v>
      </c>
      <c r="E127" s="484">
        <f>IF(+J96&lt;F126,J96,D127)</f>
        <v>384622</v>
      </c>
      <c r="F127" s="483">
        <f t="shared" si="56"/>
        <v>4759472</v>
      </c>
      <c r="G127" s="483">
        <f t="shared" si="30"/>
        <v>4951783</v>
      </c>
      <c r="H127" s="484">
        <f t="shared" si="57"/>
        <v>950249.57946011343</v>
      </c>
      <c r="I127" s="540">
        <f t="shared" si="58"/>
        <v>950249.57946011343</v>
      </c>
      <c r="J127" s="476">
        <f t="shared" si="31"/>
        <v>0</v>
      </c>
      <c r="K127" s="476"/>
      <c r="L127" s="485"/>
      <c r="M127" s="476">
        <f t="shared" si="32"/>
        <v>0</v>
      </c>
      <c r="N127" s="485"/>
      <c r="O127" s="476">
        <f t="shared" si="33"/>
        <v>0</v>
      </c>
      <c r="P127" s="476">
        <f t="shared" si="34"/>
        <v>0</v>
      </c>
    </row>
    <row r="128" spans="2:16" ht="12.5">
      <c r="B128" s="160" t="str">
        <f t="shared" si="37"/>
        <v/>
      </c>
      <c r="C128" s="470">
        <f>IF(D93="","-",+C127+1)</f>
        <v>2037</v>
      </c>
      <c r="D128" s="345">
        <f>IF(F127+SUM(E$99:E127)=D$92,F127,D$92-SUM(E$99:E127))</f>
        <v>4759472</v>
      </c>
      <c r="E128" s="484">
        <f>IF(+J96&lt;F127,J96,D128)</f>
        <v>384622</v>
      </c>
      <c r="F128" s="483">
        <f t="shared" si="56"/>
        <v>4374850</v>
      </c>
      <c r="G128" s="483">
        <f t="shared" si="30"/>
        <v>4567161</v>
      </c>
      <c r="H128" s="484">
        <f t="shared" si="57"/>
        <v>906315.34185981716</v>
      </c>
      <c r="I128" s="540">
        <f t="shared" si="58"/>
        <v>906315.34185981716</v>
      </c>
      <c r="J128" s="476">
        <f t="shared" si="31"/>
        <v>0</v>
      </c>
      <c r="K128" s="476"/>
      <c r="L128" s="485"/>
      <c r="M128" s="476">
        <f t="shared" si="32"/>
        <v>0</v>
      </c>
      <c r="N128" s="485"/>
      <c r="O128" s="476">
        <f t="shared" si="33"/>
        <v>0</v>
      </c>
      <c r="P128" s="476">
        <f t="shared" si="34"/>
        <v>0</v>
      </c>
    </row>
    <row r="129" spans="2:16" ht="12.5">
      <c r="B129" s="160" t="str">
        <f t="shared" si="37"/>
        <v/>
      </c>
      <c r="C129" s="470">
        <f>IF(D93="","-",+C128+1)</f>
        <v>2038</v>
      </c>
      <c r="D129" s="345">
        <f>IF(F128+SUM(E$99:E128)=D$92,F128,D$92-SUM(E$99:E128))</f>
        <v>4374850</v>
      </c>
      <c r="E129" s="484">
        <f>IF(+J96&lt;F128,J96,D129)</f>
        <v>384622</v>
      </c>
      <c r="F129" s="483">
        <f t="shared" si="56"/>
        <v>3990228</v>
      </c>
      <c r="G129" s="483">
        <f t="shared" si="30"/>
        <v>4182539</v>
      </c>
      <c r="H129" s="484">
        <f t="shared" si="57"/>
        <v>862381.10425952089</v>
      </c>
      <c r="I129" s="540">
        <f t="shared" si="58"/>
        <v>862381.10425952089</v>
      </c>
      <c r="J129" s="476">
        <f t="shared" si="31"/>
        <v>0</v>
      </c>
      <c r="K129" s="476"/>
      <c r="L129" s="485"/>
      <c r="M129" s="476">
        <f t="shared" si="32"/>
        <v>0</v>
      </c>
      <c r="N129" s="485"/>
      <c r="O129" s="476">
        <f t="shared" si="33"/>
        <v>0</v>
      </c>
      <c r="P129" s="476">
        <f t="shared" si="34"/>
        <v>0</v>
      </c>
    </row>
    <row r="130" spans="2:16" ht="12.5">
      <c r="B130" s="160" t="str">
        <f t="shared" si="37"/>
        <v/>
      </c>
      <c r="C130" s="470">
        <f>IF(D93="","-",+C129+1)</f>
        <v>2039</v>
      </c>
      <c r="D130" s="345">
        <f>IF(F129+SUM(E$99:E129)=D$92,F129,D$92-SUM(E$99:E129))</f>
        <v>3990228</v>
      </c>
      <c r="E130" s="484">
        <f>IF(+J96&lt;F129,J96,D130)</f>
        <v>384622</v>
      </c>
      <c r="F130" s="483">
        <f t="shared" si="56"/>
        <v>3605606</v>
      </c>
      <c r="G130" s="483">
        <f t="shared" si="30"/>
        <v>3797917</v>
      </c>
      <c r="H130" s="484">
        <f t="shared" si="57"/>
        <v>818446.86665922473</v>
      </c>
      <c r="I130" s="540">
        <f t="shared" si="58"/>
        <v>818446.86665922473</v>
      </c>
      <c r="J130" s="476">
        <f t="shared" si="31"/>
        <v>0</v>
      </c>
      <c r="K130" s="476"/>
      <c r="L130" s="485"/>
      <c r="M130" s="476">
        <f t="shared" si="32"/>
        <v>0</v>
      </c>
      <c r="N130" s="485"/>
      <c r="O130" s="476">
        <f t="shared" si="33"/>
        <v>0</v>
      </c>
      <c r="P130" s="476">
        <f t="shared" si="34"/>
        <v>0</v>
      </c>
    </row>
    <row r="131" spans="2:16" ht="12.5">
      <c r="B131" s="160" t="str">
        <f t="shared" si="37"/>
        <v/>
      </c>
      <c r="C131" s="470">
        <f>IF(D93="","-",+C130+1)</f>
        <v>2040</v>
      </c>
      <c r="D131" s="345">
        <f>IF(F130+SUM(E$99:E130)=D$92,F130,D$92-SUM(E$99:E130))</f>
        <v>3605606</v>
      </c>
      <c r="E131" s="484">
        <f>IF(+J96&lt;F130,J96,D131)</f>
        <v>384622</v>
      </c>
      <c r="F131" s="483">
        <f t="shared" ref="F131:F154" si="59">+D131-E131</f>
        <v>3220984</v>
      </c>
      <c r="G131" s="483">
        <f t="shared" ref="G131:G154" si="60">+(F131+D131)/2</f>
        <v>3413295</v>
      </c>
      <c r="H131" s="484">
        <f t="shared" si="57"/>
        <v>774512.62905892846</v>
      </c>
      <c r="I131" s="540">
        <f t="shared" si="58"/>
        <v>774512.62905892846</v>
      </c>
      <c r="J131" s="476">
        <f t="shared" si="31"/>
        <v>0</v>
      </c>
      <c r="K131" s="476"/>
      <c r="L131" s="485"/>
      <c r="M131" s="476">
        <f t="shared" ref="M131:M154" si="61">IF(L131&lt;&gt;0,+H131-L131,0)</f>
        <v>0</v>
      </c>
      <c r="N131" s="485"/>
      <c r="O131" s="476">
        <f t="shared" ref="O131:O154" si="62">IF(N131&lt;&gt;0,+I131-N131,0)</f>
        <v>0</v>
      </c>
      <c r="P131" s="476">
        <f t="shared" ref="P131:P154" si="63">+O131-M131</f>
        <v>0</v>
      </c>
    </row>
    <row r="132" spans="2:16" ht="12.5">
      <c r="B132" s="160" t="str">
        <f t="shared" si="37"/>
        <v/>
      </c>
      <c r="C132" s="470">
        <f>IF(D93="","-",+C131+1)</f>
        <v>2041</v>
      </c>
      <c r="D132" s="345">
        <f>IF(F131+SUM(E$99:E131)=D$92,F131,D$92-SUM(E$99:E131))</f>
        <v>3220984</v>
      </c>
      <c r="E132" s="484">
        <f>IF(+J96&lt;F131,J96,D132)</f>
        <v>384622</v>
      </c>
      <c r="F132" s="483">
        <f t="shared" si="59"/>
        <v>2836362</v>
      </c>
      <c r="G132" s="483">
        <f t="shared" si="60"/>
        <v>3028673</v>
      </c>
      <c r="H132" s="484">
        <f t="shared" si="57"/>
        <v>730578.39145863219</v>
      </c>
      <c r="I132" s="540">
        <f t="shared" si="58"/>
        <v>730578.39145863219</v>
      </c>
      <c r="J132" s="476">
        <f t="shared" ref="J132:J154" si="64">+I132-H132</f>
        <v>0</v>
      </c>
      <c r="K132" s="476"/>
      <c r="L132" s="485"/>
      <c r="M132" s="476">
        <f t="shared" si="61"/>
        <v>0</v>
      </c>
      <c r="N132" s="485"/>
      <c r="O132" s="476">
        <f t="shared" si="62"/>
        <v>0</v>
      </c>
      <c r="P132" s="476">
        <f t="shared" si="63"/>
        <v>0</v>
      </c>
    </row>
    <row r="133" spans="2:16" ht="12.5">
      <c r="B133" s="160" t="str">
        <f t="shared" si="37"/>
        <v/>
      </c>
      <c r="C133" s="470">
        <f>IF(D93="","-",+C132+1)</f>
        <v>2042</v>
      </c>
      <c r="D133" s="345">
        <f>IF(F132+SUM(E$99:E132)=D$92,F132,D$92-SUM(E$99:E132))</f>
        <v>2836362</v>
      </c>
      <c r="E133" s="484">
        <f>IF(+J96&lt;F132,J96,D133)</f>
        <v>384622</v>
      </c>
      <c r="F133" s="483">
        <f t="shared" si="59"/>
        <v>2451740</v>
      </c>
      <c r="G133" s="483">
        <f t="shared" si="60"/>
        <v>2644051</v>
      </c>
      <c r="H133" s="484">
        <f t="shared" si="57"/>
        <v>686644.15385833592</v>
      </c>
      <c r="I133" s="540">
        <f t="shared" si="58"/>
        <v>686644.15385833592</v>
      </c>
      <c r="J133" s="476">
        <f t="shared" si="64"/>
        <v>0</v>
      </c>
      <c r="K133" s="476"/>
      <c r="L133" s="485"/>
      <c r="M133" s="476">
        <f t="shared" si="61"/>
        <v>0</v>
      </c>
      <c r="N133" s="485"/>
      <c r="O133" s="476">
        <f t="shared" si="62"/>
        <v>0</v>
      </c>
      <c r="P133" s="476">
        <f t="shared" si="63"/>
        <v>0</v>
      </c>
    </row>
    <row r="134" spans="2:16" ht="12.5">
      <c r="B134" s="160" t="str">
        <f t="shared" si="37"/>
        <v/>
      </c>
      <c r="C134" s="470">
        <f>IF(D93="","-",+C133+1)</f>
        <v>2043</v>
      </c>
      <c r="D134" s="345">
        <f>IF(F133+SUM(E$99:E133)=D$92,F133,D$92-SUM(E$99:E133))</f>
        <v>2451740</v>
      </c>
      <c r="E134" s="484">
        <f>IF(+J96&lt;F133,J96,D134)</f>
        <v>384622</v>
      </c>
      <c r="F134" s="483">
        <f t="shared" si="59"/>
        <v>2067118</v>
      </c>
      <c r="G134" s="483">
        <f t="shared" si="60"/>
        <v>2259429</v>
      </c>
      <c r="H134" s="484">
        <f t="shared" si="57"/>
        <v>642709.91625803965</v>
      </c>
      <c r="I134" s="540">
        <f t="shared" si="58"/>
        <v>642709.91625803965</v>
      </c>
      <c r="J134" s="476">
        <f t="shared" si="64"/>
        <v>0</v>
      </c>
      <c r="K134" s="476"/>
      <c r="L134" s="485"/>
      <c r="M134" s="476">
        <f t="shared" si="61"/>
        <v>0</v>
      </c>
      <c r="N134" s="485"/>
      <c r="O134" s="476">
        <f t="shared" si="62"/>
        <v>0</v>
      </c>
      <c r="P134" s="476">
        <f t="shared" si="63"/>
        <v>0</v>
      </c>
    </row>
    <row r="135" spans="2:16" ht="12.5">
      <c r="B135" s="160" t="str">
        <f t="shared" si="37"/>
        <v/>
      </c>
      <c r="C135" s="470">
        <f>IF(D93="","-",+C134+1)</f>
        <v>2044</v>
      </c>
      <c r="D135" s="345">
        <f>IF(F134+SUM(E$99:E134)=D$92,F134,D$92-SUM(E$99:E134))</f>
        <v>2067118</v>
      </c>
      <c r="E135" s="484">
        <f>IF(+J96&lt;F134,J96,D135)</f>
        <v>384622</v>
      </c>
      <c r="F135" s="483">
        <f t="shared" si="59"/>
        <v>1682496</v>
      </c>
      <c r="G135" s="483">
        <f t="shared" si="60"/>
        <v>1874807</v>
      </c>
      <c r="H135" s="484">
        <f t="shared" si="57"/>
        <v>598775.67865774338</v>
      </c>
      <c r="I135" s="540">
        <f t="shared" si="58"/>
        <v>598775.67865774338</v>
      </c>
      <c r="J135" s="476">
        <f t="shared" si="64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3"/>
        <v>0</v>
      </c>
    </row>
    <row r="136" spans="2:16" ht="12.5">
      <c r="B136" s="160" t="str">
        <f t="shared" si="37"/>
        <v/>
      </c>
      <c r="C136" s="470">
        <f>IF(D93="","-",+C135+1)</f>
        <v>2045</v>
      </c>
      <c r="D136" s="345">
        <f>IF(F135+SUM(E$99:E135)=D$92,F135,D$92-SUM(E$99:E135))</f>
        <v>1682496</v>
      </c>
      <c r="E136" s="484">
        <f>IF(+J96&lt;F135,J96,D136)</f>
        <v>384622</v>
      </c>
      <c r="F136" s="483">
        <f t="shared" si="59"/>
        <v>1297874</v>
      </c>
      <c r="G136" s="483">
        <f t="shared" si="60"/>
        <v>1490185</v>
      </c>
      <c r="H136" s="484">
        <f t="shared" si="57"/>
        <v>554841.44105744723</v>
      </c>
      <c r="I136" s="540">
        <f t="shared" si="58"/>
        <v>554841.44105744723</v>
      </c>
      <c r="J136" s="476">
        <f t="shared" si="64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3"/>
        <v>0</v>
      </c>
    </row>
    <row r="137" spans="2:16" ht="12.5">
      <c r="B137" s="160" t="str">
        <f t="shared" si="37"/>
        <v/>
      </c>
      <c r="C137" s="470">
        <f>IF(D93="","-",+C136+1)</f>
        <v>2046</v>
      </c>
      <c r="D137" s="345">
        <f>IF(F136+SUM(E$99:E136)=D$92,F136,D$92-SUM(E$99:E136))</f>
        <v>1297874</v>
      </c>
      <c r="E137" s="484">
        <f>IF(+J96&lt;F136,J96,D137)</f>
        <v>384622</v>
      </c>
      <c r="F137" s="483">
        <f t="shared" si="59"/>
        <v>913252</v>
      </c>
      <c r="G137" s="483">
        <f t="shared" si="60"/>
        <v>1105563</v>
      </c>
      <c r="H137" s="484">
        <f t="shared" si="57"/>
        <v>510907.20345715096</v>
      </c>
      <c r="I137" s="540">
        <f t="shared" si="58"/>
        <v>510907.20345715096</v>
      </c>
      <c r="J137" s="476">
        <f t="shared" si="64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3"/>
        <v>0</v>
      </c>
    </row>
    <row r="138" spans="2:16" ht="12.5">
      <c r="B138" s="160" t="str">
        <f t="shared" si="37"/>
        <v/>
      </c>
      <c r="C138" s="470">
        <f>IF(D93="","-",+C137+1)</f>
        <v>2047</v>
      </c>
      <c r="D138" s="345">
        <f>IF(F137+SUM(E$99:E137)=D$92,F137,D$92-SUM(E$99:E137))</f>
        <v>913252</v>
      </c>
      <c r="E138" s="484">
        <f>IF(+J96&lt;F137,J96,D138)</f>
        <v>384622</v>
      </c>
      <c r="F138" s="483">
        <f t="shared" si="59"/>
        <v>528630</v>
      </c>
      <c r="G138" s="483">
        <f t="shared" si="60"/>
        <v>720941</v>
      </c>
      <c r="H138" s="484">
        <f t="shared" si="57"/>
        <v>466972.96585685469</v>
      </c>
      <c r="I138" s="540">
        <f t="shared" si="58"/>
        <v>466972.96585685469</v>
      </c>
      <c r="J138" s="476">
        <f t="shared" si="64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3"/>
        <v>0</v>
      </c>
    </row>
    <row r="139" spans="2:16" ht="12.5">
      <c r="B139" s="160" t="str">
        <f t="shared" si="37"/>
        <v/>
      </c>
      <c r="C139" s="470">
        <f>IF(D93="","-",+C138+1)</f>
        <v>2048</v>
      </c>
      <c r="D139" s="345">
        <f>IF(F138+SUM(E$99:E138)=D$92,F138,D$92-SUM(E$99:E138))</f>
        <v>528630</v>
      </c>
      <c r="E139" s="484">
        <f>IF(+J96&lt;F138,J96,D139)</f>
        <v>384622</v>
      </c>
      <c r="F139" s="483">
        <f t="shared" si="59"/>
        <v>144008</v>
      </c>
      <c r="G139" s="483">
        <f t="shared" si="60"/>
        <v>336319</v>
      </c>
      <c r="H139" s="484">
        <f t="shared" si="57"/>
        <v>423038.72825655848</v>
      </c>
      <c r="I139" s="540">
        <f t="shared" si="58"/>
        <v>423038.72825655848</v>
      </c>
      <c r="J139" s="476">
        <f t="shared" si="64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3"/>
        <v>0</v>
      </c>
    </row>
    <row r="140" spans="2:16" ht="12.5">
      <c r="B140" s="160" t="str">
        <f t="shared" si="37"/>
        <v/>
      </c>
      <c r="C140" s="470">
        <f>IF(D93="","-",+C139+1)</f>
        <v>2049</v>
      </c>
      <c r="D140" s="345">
        <f>IF(F139+SUM(E$99:E139)=D$92,F139,D$92-SUM(E$99:E139))</f>
        <v>144008</v>
      </c>
      <c r="E140" s="484">
        <f>IF(+J96&lt;F139,J96,D140)</f>
        <v>144008</v>
      </c>
      <c r="F140" s="483">
        <f t="shared" si="59"/>
        <v>0</v>
      </c>
      <c r="G140" s="483">
        <f t="shared" si="60"/>
        <v>72004</v>
      </c>
      <c r="H140" s="484">
        <f t="shared" si="57"/>
        <v>152232.80472820517</v>
      </c>
      <c r="I140" s="540">
        <f t="shared" si="58"/>
        <v>152232.80472820517</v>
      </c>
      <c r="J140" s="476">
        <f t="shared" si="64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3"/>
        <v>0</v>
      </c>
    </row>
    <row r="141" spans="2:16" ht="12.5">
      <c r="B141" s="160" t="str">
        <f t="shared" si="37"/>
        <v/>
      </c>
      <c r="C141" s="470">
        <f>IF(D93="","-",+C140+1)</f>
        <v>2050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59"/>
        <v>0</v>
      </c>
      <c r="G141" s="483">
        <f t="shared" si="60"/>
        <v>0</v>
      </c>
      <c r="H141" s="484">
        <f t="shared" si="57"/>
        <v>0</v>
      </c>
      <c r="I141" s="540">
        <f t="shared" si="58"/>
        <v>0</v>
      </c>
      <c r="J141" s="476">
        <f t="shared" si="64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3"/>
        <v>0</v>
      </c>
    </row>
    <row r="142" spans="2:16" ht="12.5">
      <c r="B142" s="160" t="str">
        <f t="shared" si="37"/>
        <v/>
      </c>
      <c r="C142" s="470">
        <f>IF(D93="","-",+C141+1)</f>
        <v>2051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59"/>
        <v>0</v>
      </c>
      <c r="G142" s="483">
        <f t="shared" si="60"/>
        <v>0</v>
      </c>
      <c r="H142" s="484">
        <f t="shared" si="57"/>
        <v>0</v>
      </c>
      <c r="I142" s="540">
        <f t="shared" si="58"/>
        <v>0</v>
      </c>
      <c r="J142" s="476">
        <f t="shared" si="64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3"/>
        <v>0</v>
      </c>
    </row>
    <row r="143" spans="2:16" ht="12.5">
      <c r="B143" s="160" t="str">
        <f t="shared" si="37"/>
        <v/>
      </c>
      <c r="C143" s="470">
        <f>IF(D93="","-",+C142+1)</f>
        <v>2052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9"/>
        <v>0</v>
      </c>
      <c r="G143" s="483">
        <f t="shared" si="60"/>
        <v>0</v>
      </c>
      <c r="H143" s="484">
        <f t="shared" si="57"/>
        <v>0</v>
      </c>
      <c r="I143" s="540">
        <f t="shared" si="58"/>
        <v>0</v>
      </c>
      <c r="J143" s="476">
        <f t="shared" si="64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3"/>
        <v>0</v>
      </c>
    </row>
    <row r="144" spans="2:16" ht="12.5">
      <c r="B144" s="160" t="str">
        <f t="shared" si="37"/>
        <v/>
      </c>
      <c r="C144" s="470">
        <f>IF(D93="","-",+C143+1)</f>
        <v>2053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9"/>
        <v>0</v>
      </c>
      <c r="G144" s="483">
        <f t="shared" si="60"/>
        <v>0</v>
      </c>
      <c r="H144" s="484">
        <f t="shared" si="57"/>
        <v>0</v>
      </c>
      <c r="I144" s="540">
        <f t="shared" si="58"/>
        <v>0</v>
      </c>
      <c r="J144" s="476">
        <f t="shared" si="64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3"/>
        <v>0</v>
      </c>
    </row>
    <row r="145" spans="2:16" ht="12.5">
      <c r="B145" s="160" t="str">
        <f t="shared" si="37"/>
        <v/>
      </c>
      <c r="C145" s="470">
        <f>IF(D93="","-",+C144+1)</f>
        <v>2054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9"/>
        <v>0</v>
      </c>
      <c r="G145" s="483">
        <f t="shared" si="60"/>
        <v>0</v>
      </c>
      <c r="H145" s="484">
        <f t="shared" si="57"/>
        <v>0</v>
      </c>
      <c r="I145" s="540">
        <f t="shared" si="58"/>
        <v>0</v>
      </c>
      <c r="J145" s="476">
        <f t="shared" si="64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3"/>
        <v>0</v>
      </c>
    </row>
    <row r="146" spans="2:16" ht="12.5">
      <c r="B146" s="160" t="str">
        <f t="shared" si="37"/>
        <v/>
      </c>
      <c r="C146" s="470">
        <f>IF(D93="","-",+C145+1)</f>
        <v>2055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9"/>
        <v>0</v>
      </c>
      <c r="G146" s="483">
        <f t="shared" si="60"/>
        <v>0</v>
      </c>
      <c r="H146" s="484">
        <f t="shared" si="57"/>
        <v>0</v>
      </c>
      <c r="I146" s="540">
        <f t="shared" si="58"/>
        <v>0</v>
      </c>
      <c r="J146" s="476">
        <f t="shared" si="64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3"/>
        <v>0</v>
      </c>
    </row>
    <row r="147" spans="2:16" ht="12.5">
      <c r="B147" s="160" t="str">
        <f t="shared" si="37"/>
        <v/>
      </c>
      <c r="C147" s="470">
        <f>IF(D93="","-",+C146+1)</f>
        <v>2056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9"/>
        <v>0</v>
      </c>
      <c r="G147" s="483">
        <f t="shared" si="60"/>
        <v>0</v>
      </c>
      <c r="H147" s="484">
        <f t="shared" si="57"/>
        <v>0</v>
      </c>
      <c r="I147" s="540">
        <f t="shared" si="58"/>
        <v>0</v>
      </c>
      <c r="J147" s="476">
        <f t="shared" si="64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3"/>
        <v>0</v>
      </c>
    </row>
    <row r="148" spans="2:16" ht="12.5">
      <c r="B148" s="160" t="str">
        <f t="shared" si="37"/>
        <v/>
      </c>
      <c r="C148" s="470">
        <f>IF(D93="","-",+C147+1)</f>
        <v>2057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9"/>
        <v>0</v>
      </c>
      <c r="G148" s="483">
        <f t="shared" si="60"/>
        <v>0</v>
      </c>
      <c r="H148" s="484">
        <f t="shared" si="57"/>
        <v>0</v>
      </c>
      <c r="I148" s="540">
        <f t="shared" si="58"/>
        <v>0</v>
      </c>
      <c r="J148" s="476">
        <f t="shared" si="64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3"/>
        <v>0</v>
      </c>
    </row>
    <row r="149" spans="2:16" ht="12.5">
      <c r="B149" s="160" t="str">
        <f t="shared" si="37"/>
        <v/>
      </c>
      <c r="C149" s="470">
        <f>IF(D93="","-",+C148+1)</f>
        <v>2058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9"/>
        <v>0</v>
      </c>
      <c r="G149" s="483">
        <f t="shared" si="60"/>
        <v>0</v>
      </c>
      <c r="H149" s="484">
        <f t="shared" si="57"/>
        <v>0</v>
      </c>
      <c r="I149" s="540">
        <f t="shared" si="58"/>
        <v>0</v>
      </c>
      <c r="J149" s="476">
        <f t="shared" si="64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3"/>
        <v>0</v>
      </c>
    </row>
    <row r="150" spans="2:16" ht="12.5">
      <c r="B150" s="160" t="str">
        <f t="shared" si="37"/>
        <v/>
      </c>
      <c r="C150" s="470">
        <f>IF(D93="","-",+C149+1)</f>
        <v>2059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9"/>
        <v>0</v>
      </c>
      <c r="G150" s="483">
        <f t="shared" si="60"/>
        <v>0</v>
      </c>
      <c r="H150" s="484">
        <f t="shared" si="57"/>
        <v>0</v>
      </c>
      <c r="I150" s="540">
        <f t="shared" si="58"/>
        <v>0</v>
      </c>
      <c r="J150" s="476">
        <f t="shared" si="64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3"/>
        <v>0</v>
      </c>
    </row>
    <row r="151" spans="2:16" ht="12.5">
      <c r="B151" s="160" t="str">
        <f t="shared" si="37"/>
        <v/>
      </c>
      <c r="C151" s="470">
        <f>IF(D93="","-",+C150+1)</f>
        <v>2060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9"/>
        <v>0</v>
      </c>
      <c r="G151" s="483">
        <f t="shared" si="60"/>
        <v>0</v>
      </c>
      <c r="H151" s="484">
        <f t="shared" si="57"/>
        <v>0</v>
      </c>
      <c r="I151" s="540">
        <f t="shared" si="58"/>
        <v>0</v>
      </c>
      <c r="J151" s="476">
        <f t="shared" si="64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3"/>
        <v>0</v>
      </c>
    </row>
    <row r="152" spans="2:16" ht="12.5">
      <c r="B152" s="160" t="str">
        <f t="shared" si="37"/>
        <v/>
      </c>
      <c r="C152" s="470">
        <f>IF(D93="","-",+C151+1)</f>
        <v>2061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9"/>
        <v>0</v>
      </c>
      <c r="G152" s="483">
        <f t="shared" si="60"/>
        <v>0</v>
      </c>
      <c r="H152" s="484">
        <f t="shared" si="57"/>
        <v>0</v>
      </c>
      <c r="I152" s="540">
        <f t="shared" si="58"/>
        <v>0</v>
      </c>
      <c r="J152" s="476">
        <f t="shared" si="64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3"/>
        <v>0</v>
      </c>
    </row>
    <row r="153" spans="2:16" ht="12.5">
      <c r="B153" s="160" t="str">
        <f t="shared" si="37"/>
        <v/>
      </c>
      <c r="C153" s="470">
        <f>IF(D93="","-",+C152+1)</f>
        <v>2062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9"/>
        <v>0</v>
      </c>
      <c r="G153" s="483">
        <f t="shared" si="60"/>
        <v>0</v>
      </c>
      <c r="H153" s="484">
        <f t="shared" si="57"/>
        <v>0</v>
      </c>
      <c r="I153" s="540">
        <f t="shared" si="58"/>
        <v>0</v>
      </c>
      <c r="J153" s="476">
        <f t="shared" si="64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3"/>
        <v>0</v>
      </c>
    </row>
    <row r="154" spans="2:16" ht="13" thickBot="1">
      <c r="B154" s="160" t="str">
        <f t="shared" si="37"/>
        <v/>
      </c>
      <c r="C154" s="487">
        <f>IF(D93="","-",+C153+1)</f>
        <v>2063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9"/>
        <v>0</v>
      </c>
      <c r="G154" s="488">
        <f t="shared" si="60"/>
        <v>0</v>
      </c>
      <c r="H154" s="488">
        <f t="shared" si="57"/>
        <v>0</v>
      </c>
      <c r="I154" s="543">
        <f t="shared" ref="I154" si="65">ROUND(J$95*G154,0)+E154</f>
        <v>0</v>
      </c>
      <c r="J154" s="493">
        <f t="shared" si="64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3"/>
        <v>0</v>
      </c>
    </row>
    <row r="155" spans="2:16" ht="12.5">
      <c r="C155" s="345" t="s">
        <v>77</v>
      </c>
      <c r="D155" s="346"/>
      <c r="E155" s="346">
        <f>SUM(E99:E154)</f>
        <v>14615636</v>
      </c>
      <c r="F155" s="346"/>
      <c r="G155" s="346"/>
      <c r="H155" s="346">
        <f>SUM(H99:H154)</f>
        <v>53902900.202816069</v>
      </c>
      <c r="I155" s="346">
        <f>SUM(I99:I154)</f>
        <v>53902900.202816069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2.5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  <row r="1048576" spans="11:13" ht="12.75" customHeight="1">
      <c r="K1048576" s="474">
        <f>G1048576</f>
        <v>0</v>
      </c>
      <c r="L1048576" s="548">
        <f t="shared" ref="L1048576" si="66">IF(K1048576&lt;&gt;0,+G1048576-K1048576,0)</f>
        <v>0</v>
      </c>
      <c r="M1048576" s="474">
        <f>H1048576</f>
        <v>0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3"/>
  <dimension ref="A1:P162"/>
  <sheetViews>
    <sheetView topLeftCell="A66" zoomScaleNormal="100" zoomScaleSheetLayoutView="75" workbookViewId="0">
      <selection activeCell="D95" sqref="D9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5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39228.598463176066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39228.598463176066</v>
      </c>
      <c r="O6" s="231"/>
      <c r="P6" s="231"/>
    </row>
    <row r="7" spans="1:16" ht="13.5" thickBot="1">
      <c r="C7" s="429" t="s">
        <v>46</v>
      </c>
      <c r="D7" s="430" t="s">
        <v>206</v>
      </c>
      <c r="E7" s="32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83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387742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2006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9942.1025641025644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2006</v>
      </c>
      <c r="D17" s="471">
        <v>387742</v>
      </c>
      <c r="E17" s="472">
        <v>3877</v>
      </c>
      <c r="F17" s="471">
        <v>383865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/>
      <c r="C18" s="470">
        <f>IF(D11="","-",+C17+1)</f>
        <v>2007</v>
      </c>
      <c r="D18" s="477">
        <v>383865</v>
      </c>
      <c r="E18" s="478">
        <v>7755</v>
      </c>
      <c r="F18" s="477">
        <v>376110</v>
      </c>
      <c r="G18" s="477">
        <v>59847</v>
      </c>
      <c r="H18" s="477">
        <v>59847</v>
      </c>
      <c r="I18" s="473">
        <f t="shared" si="0"/>
        <v>0</v>
      </c>
      <c r="J18" s="473"/>
      <c r="K18" s="474">
        <v>59847</v>
      </c>
      <c r="L18" s="476">
        <f t="shared" si="1"/>
        <v>0</v>
      </c>
      <c r="M18" s="474">
        <v>59847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/>
      <c r="C19" s="470">
        <f>IF(D11="","-",+C18+1)</f>
        <v>2008</v>
      </c>
      <c r="D19" s="477">
        <v>376557</v>
      </c>
      <c r="E19" s="559">
        <v>7457</v>
      </c>
      <c r="F19" s="477">
        <v>369100</v>
      </c>
      <c r="G19" s="477">
        <v>62208</v>
      </c>
      <c r="H19" s="477">
        <v>62208</v>
      </c>
      <c r="I19" s="473">
        <f t="shared" si="0"/>
        <v>0</v>
      </c>
      <c r="J19" s="473"/>
      <c r="K19" s="474">
        <v>62208</v>
      </c>
      <c r="L19" s="476">
        <f t="shared" si="1"/>
        <v>0</v>
      </c>
      <c r="M19" s="474">
        <v>62208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/>
      <c r="C20" s="470">
        <f>IF(D11="","-",+C19+1)</f>
        <v>2009</v>
      </c>
      <c r="D20" s="477">
        <v>368843</v>
      </c>
      <c r="E20" s="559">
        <v>7316</v>
      </c>
      <c r="F20" s="477">
        <v>361527</v>
      </c>
      <c r="G20" s="477">
        <v>62704</v>
      </c>
      <c r="H20" s="477">
        <v>62704</v>
      </c>
      <c r="I20" s="473">
        <f t="shared" si="0"/>
        <v>0</v>
      </c>
      <c r="J20" s="473"/>
      <c r="K20" s="474">
        <v>62704</v>
      </c>
      <c r="L20" s="476">
        <f t="shared" si="1"/>
        <v>0</v>
      </c>
      <c r="M20" s="474">
        <v>62704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/>
      <c r="C21" s="470">
        <f>IF(D12="","-",+C20+1)</f>
        <v>2010</v>
      </c>
      <c r="D21" s="477">
        <v>361337</v>
      </c>
      <c r="E21" s="478">
        <v>6923.9642857142853</v>
      </c>
      <c r="F21" s="477">
        <v>354413.03571428574</v>
      </c>
      <c r="G21" s="478">
        <v>58064.529944767884</v>
      </c>
      <c r="H21" s="479">
        <v>58064.529944767884</v>
      </c>
      <c r="I21" s="473">
        <f t="shared" si="0"/>
        <v>0</v>
      </c>
      <c r="J21" s="473"/>
      <c r="K21" s="538">
        <f t="shared" ref="K21:K26" si="4">G21</f>
        <v>58064.529944767884</v>
      </c>
      <c r="L21" s="476">
        <f t="shared" si="1"/>
        <v>0</v>
      </c>
      <c r="M21" s="538">
        <f t="shared" ref="M21:M26" si="5">H21</f>
        <v>58064.529944767884</v>
      </c>
      <c r="N21" s="476">
        <f t="shared" si="2"/>
        <v>0</v>
      </c>
      <c r="O21" s="476">
        <f t="shared" si="3"/>
        <v>0</v>
      </c>
      <c r="P21" s="241"/>
    </row>
    <row r="22" spans="2:16" ht="12.5">
      <c r="B22" s="160" t="str">
        <f t="shared" ref="B22:B72" si="6">IF(D22=F21,"","IU")</f>
        <v/>
      </c>
      <c r="C22" s="470">
        <f>IF(D11="","-",+C21+1)</f>
        <v>2011</v>
      </c>
      <c r="D22" s="477">
        <v>354413.03571428574</v>
      </c>
      <c r="E22" s="478">
        <v>7602.7843137254904</v>
      </c>
      <c r="F22" s="477">
        <v>346810.25140056026</v>
      </c>
      <c r="G22" s="478">
        <v>61893.620096156621</v>
      </c>
      <c r="H22" s="479">
        <v>61893.620096156621</v>
      </c>
      <c r="I22" s="473">
        <f t="shared" si="0"/>
        <v>0</v>
      </c>
      <c r="J22" s="473"/>
      <c r="K22" s="474">
        <f t="shared" si="4"/>
        <v>61893.620096156621</v>
      </c>
      <c r="L22" s="548">
        <f t="shared" si="1"/>
        <v>0</v>
      </c>
      <c r="M22" s="474">
        <f t="shared" si="5"/>
        <v>61893.620096156621</v>
      </c>
      <c r="N22" s="476">
        <f t="shared" si="2"/>
        <v>0</v>
      </c>
      <c r="O22" s="476">
        <f t="shared" si="3"/>
        <v>0</v>
      </c>
      <c r="P22" s="241"/>
    </row>
    <row r="23" spans="2:16" ht="12.5">
      <c r="B23" s="160" t="str">
        <f t="shared" si="6"/>
        <v/>
      </c>
      <c r="C23" s="470">
        <f>IF(D11="","-",+C22+1)</f>
        <v>2012</v>
      </c>
      <c r="D23" s="477">
        <v>346810.25140056026</v>
      </c>
      <c r="E23" s="478">
        <v>7456.5769230769229</v>
      </c>
      <c r="F23" s="477">
        <v>339353.67447748332</v>
      </c>
      <c r="G23" s="478">
        <v>54696.893588724874</v>
      </c>
      <c r="H23" s="479">
        <v>54696.893588724874</v>
      </c>
      <c r="I23" s="473">
        <f t="shared" si="0"/>
        <v>0</v>
      </c>
      <c r="J23" s="473"/>
      <c r="K23" s="474">
        <f t="shared" si="4"/>
        <v>54696.893588724874</v>
      </c>
      <c r="L23" s="548">
        <f t="shared" si="1"/>
        <v>0</v>
      </c>
      <c r="M23" s="474">
        <f t="shared" si="5"/>
        <v>54696.893588724874</v>
      </c>
      <c r="N23" s="476">
        <f t="shared" si="2"/>
        <v>0</v>
      </c>
      <c r="O23" s="476">
        <f t="shared" si="3"/>
        <v>0</v>
      </c>
      <c r="P23" s="241"/>
    </row>
    <row r="24" spans="2:16" ht="12.5">
      <c r="B24" s="160" t="str">
        <f t="shared" si="6"/>
        <v/>
      </c>
      <c r="C24" s="470">
        <f>IF(D11="","-",+C23+1)</f>
        <v>2013</v>
      </c>
      <c r="D24" s="477">
        <v>339353.67447748332</v>
      </c>
      <c r="E24" s="478">
        <v>7456.5769230769229</v>
      </c>
      <c r="F24" s="477">
        <v>331897.09755440638</v>
      </c>
      <c r="G24" s="478">
        <v>54853.72619811543</v>
      </c>
      <c r="H24" s="479">
        <v>54853.72619811543</v>
      </c>
      <c r="I24" s="473">
        <v>0</v>
      </c>
      <c r="J24" s="473"/>
      <c r="K24" s="474">
        <f t="shared" si="4"/>
        <v>54853.72619811543</v>
      </c>
      <c r="L24" s="548">
        <f t="shared" ref="L24:L29" si="7">IF(K24&lt;&gt;0,+G24-K24,0)</f>
        <v>0</v>
      </c>
      <c r="M24" s="474">
        <f t="shared" si="5"/>
        <v>54853.72619811543</v>
      </c>
      <c r="N24" s="476">
        <f t="shared" ref="N24:N29" si="8">IF(M24&lt;&gt;0,+H24-M24,0)</f>
        <v>0</v>
      </c>
      <c r="O24" s="476">
        <f t="shared" ref="O24:O29" si="9">+N24-L24</f>
        <v>0</v>
      </c>
      <c r="P24" s="241"/>
    </row>
    <row r="25" spans="2:16" ht="12.5">
      <c r="B25" s="160" t="str">
        <f t="shared" si="6"/>
        <v/>
      </c>
      <c r="C25" s="470">
        <f>IF(D11="","-",+C24+1)</f>
        <v>2014</v>
      </c>
      <c r="D25" s="477">
        <v>331897.09755440638</v>
      </c>
      <c r="E25" s="478">
        <v>7456.5769230769229</v>
      </c>
      <c r="F25" s="477">
        <v>324440.52063132945</v>
      </c>
      <c r="G25" s="478">
        <v>52118.659182147123</v>
      </c>
      <c r="H25" s="479">
        <v>52118.659182147123</v>
      </c>
      <c r="I25" s="473">
        <v>0</v>
      </c>
      <c r="J25" s="473"/>
      <c r="K25" s="474">
        <f t="shared" si="4"/>
        <v>52118.659182147123</v>
      </c>
      <c r="L25" s="548">
        <f t="shared" si="7"/>
        <v>0</v>
      </c>
      <c r="M25" s="474">
        <f t="shared" si="5"/>
        <v>52118.659182147123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2015</v>
      </c>
      <c r="D26" s="477">
        <v>324440.52063132945</v>
      </c>
      <c r="E26" s="478">
        <v>7456.5769230769229</v>
      </c>
      <c r="F26" s="477">
        <v>316983.94370825251</v>
      </c>
      <c r="G26" s="478">
        <v>51159.678410482353</v>
      </c>
      <c r="H26" s="479">
        <v>51159.678410482353</v>
      </c>
      <c r="I26" s="473">
        <v>0</v>
      </c>
      <c r="J26" s="473"/>
      <c r="K26" s="474">
        <f t="shared" si="4"/>
        <v>51159.678410482353</v>
      </c>
      <c r="L26" s="548">
        <f t="shared" si="7"/>
        <v>0</v>
      </c>
      <c r="M26" s="474">
        <f t="shared" si="5"/>
        <v>51159.678410482353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6"/>
        <v/>
      </c>
      <c r="C27" s="470">
        <f>IF(D11="","-",+C26+1)</f>
        <v>2016</v>
      </c>
      <c r="D27" s="477">
        <v>316983.94370825251</v>
      </c>
      <c r="E27" s="478">
        <v>7456.5769230769229</v>
      </c>
      <c r="F27" s="477">
        <v>309527.36678517557</v>
      </c>
      <c r="G27" s="478">
        <v>48054.073071867475</v>
      </c>
      <c r="H27" s="479">
        <v>48054.073071867475</v>
      </c>
      <c r="I27" s="473">
        <f t="shared" si="0"/>
        <v>0</v>
      </c>
      <c r="J27" s="473"/>
      <c r="K27" s="474">
        <f t="shared" ref="K27:K32" si="10">G27</f>
        <v>48054.073071867475</v>
      </c>
      <c r="L27" s="548">
        <f t="shared" si="7"/>
        <v>0</v>
      </c>
      <c r="M27" s="474">
        <f t="shared" ref="M27:M32" si="11">H27</f>
        <v>48054.073071867475</v>
      </c>
      <c r="N27" s="476">
        <f t="shared" si="8"/>
        <v>0</v>
      </c>
      <c r="O27" s="476">
        <f t="shared" si="9"/>
        <v>0</v>
      </c>
      <c r="P27" s="241"/>
    </row>
    <row r="28" spans="2:16" ht="12.5">
      <c r="B28" s="160" t="str">
        <f t="shared" si="6"/>
        <v/>
      </c>
      <c r="C28" s="470">
        <f>IF(D11="","-",+C27+1)</f>
        <v>2017</v>
      </c>
      <c r="D28" s="477">
        <v>309527.36678517557</v>
      </c>
      <c r="E28" s="478">
        <v>8429.173913043478</v>
      </c>
      <c r="F28" s="477">
        <v>301098.19287213212</v>
      </c>
      <c r="G28" s="478">
        <v>46747.12706959022</v>
      </c>
      <c r="H28" s="479">
        <v>46747.12706959022</v>
      </c>
      <c r="I28" s="473">
        <f t="shared" si="0"/>
        <v>0</v>
      </c>
      <c r="J28" s="473"/>
      <c r="K28" s="474">
        <f t="shared" si="10"/>
        <v>46747.12706959022</v>
      </c>
      <c r="L28" s="548">
        <f t="shared" si="7"/>
        <v>0</v>
      </c>
      <c r="M28" s="474">
        <f t="shared" si="11"/>
        <v>46747.12706959022</v>
      </c>
      <c r="N28" s="476">
        <f t="shared" si="8"/>
        <v>0</v>
      </c>
      <c r="O28" s="476">
        <f t="shared" si="9"/>
        <v>0</v>
      </c>
      <c r="P28" s="241"/>
    </row>
    <row r="29" spans="2:16" ht="12.5">
      <c r="B29" s="160" t="str">
        <f t="shared" si="6"/>
        <v/>
      </c>
      <c r="C29" s="470">
        <f>IF(D11="","-",+C28+1)</f>
        <v>2018</v>
      </c>
      <c r="D29" s="477">
        <v>301098.19287213212</v>
      </c>
      <c r="E29" s="478">
        <v>8616.4888888888891</v>
      </c>
      <c r="F29" s="477">
        <v>292481.70398324321</v>
      </c>
      <c r="G29" s="478">
        <v>44159.738725302646</v>
      </c>
      <c r="H29" s="479">
        <v>44159.738725302646</v>
      </c>
      <c r="I29" s="473">
        <f t="shared" si="0"/>
        <v>0</v>
      </c>
      <c r="J29" s="473"/>
      <c r="K29" s="474">
        <f t="shared" si="10"/>
        <v>44159.738725302646</v>
      </c>
      <c r="L29" s="548">
        <f t="shared" si="7"/>
        <v>0</v>
      </c>
      <c r="M29" s="474">
        <f t="shared" si="11"/>
        <v>44159.738725302646</v>
      </c>
      <c r="N29" s="476">
        <f t="shared" si="8"/>
        <v>0</v>
      </c>
      <c r="O29" s="476">
        <f t="shared" si="9"/>
        <v>0</v>
      </c>
      <c r="P29" s="241"/>
    </row>
    <row r="30" spans="2:16" ht="12.5">
      <c r="B30" s="160" t="str">
        <f t="shared" si="6"/>
        <v/>
      </c>
      <c r="C30" s="470">
        <f>IF(D11="","-",+C29+1)</f>
        <v>2019</v>
      </c>
      <c r="D30" s="477">
        <v>292481.70398324321</v>
      </c>
      <c r="E30" s="478">
        <v>9693.5499999999993</v>
      </c>
      <c r="F30" s="477">
        <v>282788.15398324322</v>
      </c>
      <c r="G30" s="478">
        <v>41809.897213779383</v>
      </c>
      <c r="H30" s="479">
        <v>41809.897213779383</v>
      </c>
      <c r="I30" s="473">
        <f t="shared" si="0"/>
        <v>0</v>
      </c>
      <c r="J30" s="473"/>
      <c r="K30" s="474">
        <f t="shared" si="10"/>
        <v>41809.897213779383</v>
      </c>
      <c r="L30" s="548">
        <f t="shared" ref="L30" si="12">IF(K30&lt;&gt;0,+G30-K30,0)</f>
        <v>0</v>
      </c>
      <c r="M30" s="474">
        <f t="shared" si="11"/>
        <v>41809.897213779383</v>
      </c>
      <c r="N30" s="476">
        <f t="shared" ref="N30" si="13">IF(M30&lt;&gt;0,+H30-M30,0)</f>
        <v>0</v>
      </c>
      <c r="O30" s="476">
        <f t="shared" ref="O30" si="14">+N30-L30</f>
        <v>0</v>
      </c>
      <c r="P30" s="241"/>
    </row>
    <row r="31" spans="2:16" ht="12.5">
      <c r="B31" s="160" t="str">
        <f t="shared" si="6"/>
        <v>IU</v>
      </c>
      <c r="C31" s="470">
        <f>IF(D11="","-",+C30+1)</f>
        <v>2020</v>
      </c>
      <c r="D31" s="477">
        <v>283865.21509435429</v>
      </c>
      <c r="E31" s="478">
        <v>9231.9523809523816</v>
      </c>
      <c r="F31" s="477">
        <v>274633.26271340193</v>
      </c>
      <c r="G31" s="478">
        <v>39392.204131039958</v>
      </c>
      <c r="H31" s="479">
        <v>39392.204131039958</v>
      </c>
      <c r="I31" s="473">
        <f t="shared" si="0"/>
        <v>0</v>
      </c>
      <c r="J31" s="473"/>
      <c r="K31" s="474">
        <f t="shared" si="10"/>
        <v>39392.204131039958</v>
      </c>
      <c r="L31" s="548">
        <f t="shared" ref="L31" si="15">IF(K31&lt;&gt;0,+G31-K31,0)</f>
        <v>0</v>
      </c>
      <c r="M31" s="474">
        <f t="shared" si="11"/>
        <v>39392.204131039958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6"/>
        <v>IU</v>
      </c>
      <c r="C32" s="470">
        <f>IF(D11="","-",+C31+1)</f>
        <v>2021</v>
      </c>
      <c r="D32" s="477">
        <v>273556.20160229085</v>
      </c>
      <c r="E32" s="478">
        <v>9017.2558139534885</v>
      </c>
      <c r="F32" s="477">
        <v>264538.94578833738</v>
      </c>
      <c r="G32" s="478">
        <v>37540.281940264002</v>
      </c>
      <c r="H32" s="479">
        <v>37540.281940264002</v>
      </c>
      <c r="I32" s="473">
        <f t="shared" si="0"/>
        <v>0</v>
      </c>
      <c r="J32" s="473"/>
      <c r="K32" s="474">
        <f t="shared" si="10"/>
        <v>37540.281940264002</v>
      </c>
      <c r="L32" s="548">
        <f t="shared" ref="L32" si="16">IF(K32&lt;&gt;0,+G32-K32,0)</f>
        <v>0</v>
      </c>
      <c r="M32" s="474">
        <f t="shared" si="11"/>
        <v>37540.281940264002</v>
      </c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6"/>
        <v/>
      </c>
      <c r="C33" s="470">
        <f>IF(D11="","-",+C32+1)</f>
        <v>2022</v>
      </c>
      <c r="D33" s="477">
        <v>264538.94578833738</v>
      </c>
      <c r="E33" s="478">
        <v>9231.9523809523816</v>
      </c>
      <c r="F33" s="477">
        <v>255306.99340738502</v>
      </c>
      <c r="G33" s="478">
        <v>36756.917403506392</v>
      </c>
      <c r="H33" s="479">
        <v>36756.917403506392</v>
      </c>
      <c r="I33" s="473">
        <f t="shared" si="0"/>
        <v>0</v>
      </c>
      <c r="J33" s="473"/>
      <c r="K33" s="474">
        <f t="shared" ref="K33" si="17">G33</f>
        <v>36756.917403506392</v>
      </c>
      <c r="L33" s="548">
        <f t="shared" ref="L33" si="18">IF(K33&lt;&gt;0,+G33-K33,0)</f>
        <v>0</v>
      </c>
      <c r="M33" s="474">
        <f t="shared" ref="M33" si="19">H33</f>
        <v>36756.917403506392</v>
      </c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6"/>
        <v/>
      </c>
      <c r="C34" s="470">
        <f>IF(D11="","-",+C33+1)</f>
        <v>2023</v>
      </c>
      <c r="D34" s="477">
        <v>255306.99340738502</v>
      </c>
      <c r="E34" s="478">
        <v>9942.1025641025644</v>
      </c>
      <c r="F34" s="477">
        <v>245364.89084328245</v>
      </c>
      <c r="G34" s="478">
        <v>39228.598463176066</v>
      </c>
      <c r="H34" s="479">
        <v>39228.598463176066</v>
      </c>
      <c r="I34" s="473">
        <f t="shared" si="0"/>
        <v>0</v>
      </c>
      <c r="J34" s="473"/>
      <c r="K34" s="474">
        <f t="shared" ref="K34" si="20">G34</f>
        <v>39228.598463176066</v>
      </c>
      <c r="L34" s="548">
        <f t="shared" ref="L34" si="21">IF(K34&lt;&gt;0,+G34-K34,0)</f>
        <v>0</v>
      </c>
      <c r="M34" s="474">
        <f t="shared" ref="M34" si="22">H34</f>
        <v>39228.598463176066</v>
      </c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6"/>
        <v/>
      </c>
      <c r="C35" s="470">
        <f>IF(D11="","-",+C34+1)</f>
        <v>2024</v>
      </c>
      <c r="D35" s="483">
        <f>IF(F34+SUM(E$17:E34)=D$10,F34,D$10-SUM(E$17:E34))</f>
        <v>245364.89084328245</v>
      </c>
      <c r="E35" s="482">
        <f>IF(+I14&lt;F34,I14,D35)</f>
        <v>9942.1025641025644</v>
      </c>
      <c r="F35" s="483">
        <f t="shared" ref="F35:F72" si="23">+D35-E35</f>
        <v>235422.78827917989</v>
      </c>
      <c r="G35" s="484">
        <f t="shared" ref="G35:G72" si="24">(D35+F35)/2*I$12+E35</f>
        <v>38635.258998489306</v>
      </c>
      <c r="H35" s="453">
        <f t="shared" ref="H35:H72" si="25">+(D35+F35)/2*I$13+E35</f>
        <v>38635.258998489306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6"/>
        <v/>
      </c>
      <c r="C36" s="470">
        <f>IF(D11="","-",+C35+1)</f>
        <v>2025</v>
      </c>
      <c r="D36" s="483">
        <f>IF(F35+SUM(E$17:E35)=D$10,F35,D$10-SUM(E$17:E35))</f>
        <v>235422.78827917989</v>
      </c>
      <c r="E36" s="482">
        <f>IF(+I14&lt;F35,I14,D36)</f>
        <v>9942.1025641025644</v>
      </c>
      <c r="F36" s="483">
        <f t="shared" si="23"/>
        <v>225480.68571507733</v>
      </c>
      <c r="G36" s="484">
        <f t="shared" si="24"/>
        <v>37448.580069115786</v>
      </c>
      <c r="H36" s="453">
        <f t="shared" si="25"/>
        <v>37448.580069115786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6"/>
        <v/>
      </c>
      <c r="C37" s="470">
        <f>IF(D11="","-",+C36+1)</f>
        <v>2026</v>
      </c>
      <c r="D37" s="483">
        <f>IF(F36+SUM(E$17:E36)=D$10,F36,D$10-SUM(E$17:E36))</f>
        <v>225480.68571507733</v>
      </c>
      <c r="E37" s="482">
        <f>IF(+I14&lt;F36,I14,D37)</f>
        <v>9942.1025641025644</v>
      </c>
      <c r="F37" s="483">
        <f t="shared" si="23"/>
        <v>215538.58315097477</v>
      </c>
      <c r="G37" s="484">
        <f t="shared" si="24"/>
        <v>36261.901139742258</v>
      </c>
      <c r="H37" s="453">
        <f t="shared" si="25"/>
        <v>36261.901139742258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6"/>
        <v/>
      </c>
      <c r="C38" s="470">
        <f>IF(D11="","-",+C37+1)</f>
        <v>2027</v>
      </c>
      <c r="D38" s="483">
        <f>IF(F37+SUM(E$17:E37)=D$10,F37,D$10-SUM(E$17:E37))</f>
        <v>215538.58315097477</v>
      </c>
      <c r="E38" s="482">
        <f>IF(+I14&lt;F37,I14,D38)</f>
        <v>9942.1025641025644</v>
      </c>
      <c r="F38" s="483">
        <f t="shared" si="23"/>
        <v>205596.4805868722</v>
      </c>
      <c r="G38" s="484">
        <f t="shared" si="24"/>
        <v>35075.222210368738</v>
      </c>
      <c r="H38" s="453">
        <f t="shared" si="25"/>
        <v>35075.222210368738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6"/>
        <v/>
      </c>
      <c r="C39" s="470">
        <f>IF(D11="","-",+C38+1)</f>
        <v>2028</v>
      </c>
      <c r="D39" s="483">
        <f>IF(F38+SUM(E$17:E38)=D$10,F38,D$10-SUM(E$17:E38))</f>
        <v>205596.4805868722</v>
      </c>
      <c r="E39" s="482">
        <f>IF(+I14&lt;F38,I14,D39)</f>
        <v>9942.1025641025644</v>
      </c>
      <c r="F39" s="483">
        <f t="shared" si="23"/>
        <v>195654.37802276964</v>
      </c>
      <c r="G39" s="484">
        <f t="shared" si="24"/>
        <v>33888.543280995211</v>
      </c>
      <c r="H39" s="453">
        <f t="shared" si="25"/>
        <v>33888.543280995211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6"/>
        <v/>
      </c>
      <c r="C40" s="470">
        <f>IF(D11="","-",+C39+1)</f>
        <v>2029</v>
      </c>
      <c r="D40" s="483">
        <f>IF(F39+SUM(E$17:E39)=D$10,F39,D$10-SUM(E$17:E39))</f>
        <v>195654.37802276964</v>
      </c>
      <c r="E40" s="482">
        <f>IF(+I14&lt;F39,I14,D40)</f>
        <v>9942.1025641025644</v>
      </c>
      <c r="F40" s="483">
        <f t="shared" si="23"/>
        <v>185712.27545866708</v>
      </c>
      <c r="G40" s="484">
        <f t="shared" si="24"/>
        <v>32701.864351621691</v>
      </c>
      <c r="H40" s="453">
        <f t="shared" si="25"/>
        <v>32701.864351621691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6"/>
        <v/>
      </c>
      <c r="C41" s="470">
        <f>IF(D11="","-",+C40+1)</f>
        <v>2030</v>
      </c>
      <c r="D41" s="483">
        <f>IF(F40+SUM(E$17:E40)=D$10,F40,D$10-SUM(E$17:E40))</f>
        <v>185712.27545866708</v>
      </c>
      <c r="E41" s="482">
        <f>IF(+I14&lt;F40,I14,D41)</f>
        <v>9942.1025641025644</v>
      </c>
      <c r="F41" s="483">
        <f t="shared" si="23"/>
        <v>175770.17289456452</v>
      </c>
      <c r="G41" s="484">
        <f t="shared" si="24"/>
        <v>31515.185422248163</v>
      </c>
      <c r="H41" s="453">
        <f t="shared" si="25"/>
        <v>31515.185422248163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6"/>
        <v/>
      </c>
      <c r="C42" s="470">
        <f>IF(D11="","-",+C41+1)</f>
        <v>2031</v>
      </c>
      <c r="D42" s="483">
        <f>IF(F41+SUM(E$17:E41)=D$10,F41,D$10-SUM(E$17:E41))</f>
        <v>175770.17289456452</v>
      </c>
      <c r="E42" s="482">
        <f>IF(+I14&lt;F41,I14,D42)</f>
        <v>9942.1025641025644</v>
      </c>
      <c r="F42" s="483">
        <f t="shared" si="23"/>
        <v>165828.07033046195</v>
      </c>
      <c r="G42" s="484">
        <f t="shared" si="24"/>
        <v>30328.506492874643</v>
      </c>
      <c r="H42" s="453">
        <f t="shared" si="25"/>
        <v>30328.506492874643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6"/>
        <v/>
      </c>
      <c r="C43" s="470">
        <f>IF(D11="","-",+C42+1)</f>
        <v>2032</v>
      </c>
      <c r="D43" s="483">
        <f>IF(F42+SUM(E$17:E42)=D$10,F42,D$10-SUM(E$17:E42))</f>
        <v>165828.07033046195</v>
      </c>
      <c r="E43" s="482">
        <f>IF(+I14&lt;F42,I14,D43)</f>
        <v>9942.1025641025644</v>
      </c>
      <c r="F43" s="483">
        <f t="shared" si="23"/>
        <v>155885.96776635939</v>
      </c>
      <c r="G43" s="484">
        <f t="shared" si="24"/>
        <v>29141.827563501116</v>
      </c>
      <c r="H43" s="453">
        <f t="shared" si="25"/>
        <v>29141.827563501116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6"/>
        <v/>
      </c>
      <c r="C44" s="470">
        <f>IF(D11="","-",+C43+1)</f>
        <v>2033</v>
      </c>
      <c r="D44" s="483">
        <f>IF(F43+SUM(E$17:E43)=D$10,F43,D$10-SUM(E$17:E43))</f>
        <v>155885.96776635939</v>
      </c>
      <c r="E44" s="482">
        <f>IF(+I14&lt;F43,I14,D44)</f>
        <v>9942.1025641025644</v>
      </c>
      <c r="F44" s="483">
        <f t="shared" si="23"/>
        <v>145943.86520225683</v>
      </c>
      <c r="G44" s="484">
        <f t="shared" si="24"/>
        <v>27955.148634127596</v>
      </c>
      <c r="H44" s="453">
        <f t="shared" si="25"/>
        <v>27955.148634127596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6"/>
        <v/>
      </c>
      <c r="C45" s="470">
        <f>IF(D11="","-",+C44+1)</f>
        <v>2034</v>
      </c>
      <c r="D45" s="483">
        <f>IF(F44+SUM(E$17:E44)=D$10,F44,D$10-SUM(E$17:E44))</f>
        <v>145943.86520225683</v>
      </c>
      <c r="E45" s="482">
        <f>IF(+I14&lt;F44,I14,D45)</f>
        <v>9942.1025641025644</v>
      </c>
      <c r="F45" s="483">
        <f t="shared" si="23"/>
        <v>136001.76263815427</v>
      </c>
      <c r="G45" s="484">
        <f t="shared" si="24"/>
        <v>26768.469704754069</v>
      </c>
      <c r="H45" s="453">
        <f t="shared" si="25"/>
        <v>26768.469704754069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6"/>
        <v/>
      </c>
      <c r="C46" s="470">
        <f>IF(D11="","-",+C45+1)</f>
        <v>2035</v>
      </c>
      <c r="D46" s="483">
        <f>IF(F45+SUM(E$17:E45)=D$10,F45,D$10-SUM(E$17:E45))</f>
        <v>136001.76263815427</v>
      </c>
      <c r="E46" s="482">
        <f>IF(+I14&lt;F45,I14,D46)</f>
        <v>9942.1025641025644</v>
      </c>
      <c r="F46" s="483">
        <f t="shared" si="23"/>
        <v>126059.6600740517</v>
      </c>
      <c r="G46" s="484">
        <f t="shared" si="24"/>
        <v>25581.790775380548</v>
      </c>
      <c r="H46" s="453">
        <f t="shared" si="25"/>
        <v>25581.790775380548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6"/>
        <v/>
      </c>
      <c r="C47" s="470">
        <f>IF(D11="","-",+C46+1)</f>
        <v>2036</v>
      </c>
      <c r="D47" s="483">
        <f>IF(F46+SUM(E$17:E46)=D$10,F46,D$10-SUM(E$17:E46))</f>
        <v>126059.6600740517</v>
      </c>
      <c r="E47" s="482">
        <f>IF(+I14&lt;F46,I14,D47)</f>
        <v>9942.1025641025644</v>
      </c>
      <c r="F47" s="483">
        <f t="shared" si="23"/>
        <v>116117.55750994914</v>
      </c>
      <c r="G47" s="484">
        <f t="shared" si="24"/>
        <v>24395.111846007025</v>
      </c>
      <c r="H47" s="453">
        <f t="shared" si="25"/>
        <v>24395.111846007025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6"/>
        <v/>
      </c>
      <c r="C48" s="470">
        <f>IF(D11="","-",+C47+1)</f>
        <v>2037</v>
      </c>
      <c r="D48" s="483">
        <f>IF(F47+SUM(E$17:E47)=D$10,F47,D$10-SUM(E$17:E47))</f>
        <v>116117.55750994914</v>
      </c>
      <c r="E48" s="482">
        <f>IF(+I14&lt;F47,I14,D48)</f>
        <v>9942.1025641025644</v>
      </c>
      <c r="F48" s="483">
        <f t="shared" si="23"/>
        <v>106175.45494584658</v>
      </c>
      <c r="G48" s="484">
        <f t="shared" si="24"/>
        <v>23208.432916633501</v>
      </c>
      <c r="H48" s="453">
        <f t="shared" si="25"/>
        <v>23208.432916633501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6"/>
        <v/>
      </c>
      <c r="C49" s="470">
        <f>IF(D11="","-",+C48+1)</f>
        <v>2038</v>
      </c>
      <c r="D49" s="483">
        <f>IF(F48+SUM(E$17:E48)=D$10,F48,D$10-SUM(E$17:E48))</f>
        <v>106175.45494584658</v>
      </c>
      <c r="E49" s="482">
        <f>IF(+I14&lt;F48,I14,D49)</f>
        <v>9942.1025641025644</v>
      </c>
      <c r="F49" s="483">
        <f t="shared" si="23"/>
        <v>96233.352381744015</v>
      </c>
      <c r="G49" s="484">
        <f t="shared" si="24"/>
        <v>22021.753987259981</v>
      </c>
      <c r="H49" s="453">
        <f t="shared" si="25"/>
        <v>22021.753987259981</v>
      </c>
      <c r="I49" s="473">
        <f t="shared" ref="I49:I72" si="26">H49-G49</f>
        <v>0</v>
      </c>
      <c r="J49" s="473"/>
      <c r="K49" s="485"/>
      <c r="L49" s="476">
        <f t="shared" ref="L49:L72" si="27">IF(K49&lt;&gt;0,+G49-K49,0)</f>
        <v>0</v>
      </c>
      <c r="M49" s="485"/>
      <c r="N49" s="476">
        <f t="shared" ref="N49:N72" si="28">IF(M49&lt;&gt;0,+H49-M49,0)</f>
        <v>0</v>
      </c>
      <c r="O49" s="476">
        <f t="shared" ref="O49:O72" si="29">+N49-L49</f>
        <v>0</v>
      </c>
      <c r="P49" s="241"/>
    </row>
    <row r="50" spans="2:16" ht="12.5">
      <c r="B50" s="160" t="str">
        <f t="shared" si="6"/>
        <v/>
      </c>
      <c r="C50" s="470">
        <f>IF(D11="","-",+C49+1)</f>
        <v>2039</v>
      </c>
      <c r="D50" s="483">
        <f>IF(F49+SUM(E$17:E49)=D$10,F49,D$10-SUM(E$17:E49))</f>
        <v>96233.352381744015</v>
      </c>
      <c r="E50" s="482">
        <f>IF(+I14&lt;F49,I14,D50)</f>
        <v>9942.1025641025644</v>
      </c>
      <c r="F50" s="483">
        <f t="shared" si="23"/>
        <v>86291.249817641452</v>
      </c>
      <c r="G50" s="484">
        <f t="shared" si="24"/>
        <v>20835.075057886454</v>
      </c>
      <c r="H50" s="453">
        <f t="shared" si="25"/>
        <v>20835.075057886454</v>
      </c>
      <c r="I50" s="473">
        <f t="shared" si="26"/>
        <v>0</v>
      </c>
      <c r="J50" s="473"/>
      <c r="K50" s="485"/>
      <c r="L50" s="476">
        <f t="shared" si="27"/>
        <v>0</v>
      </c>
      <c r="M50" s="485"/>
      <c r="N50" s="476">
        <f t="shared" si="28"/>
        <v>0</v>
      </c>
      <c r="O50" s="476">
        <f t="shared" si="29"/>
        <v>0</v>
      </c>
      <c r="P50" s="241"/>
    </row>
    <row r="51" spans="2:16" ht="12.5">
      <c r="B51" s="160" t="str">
        <f t="shared" si="6"/>
        <v/>
      </c>
      <c r="C51" s="470">
        <f>IF(D11="","-",+C50+1)</f>
        <v>2040</v>
      </c>
      <c r="D51" s="483">
        <f>IF(F50+SUM(E$17:E50)=D$10,F50,D$10-SUM(E$17:E50))</f>
        <v>86291.249817641452</v>
      </c>
      <c r="E51" s="482">
        <f>IF(+I14&lt;F50,I14,D51)</f>
        <v>9942.1025641025644</v>
      </c>
      <c r="F51" s="483">
        <f t="shared" si="23"/>
        <v>76349.147253538889</v>
      </c>
      <c r="G51" s="484">
        <f t="shared" si="24"/>
        <v>19648.396128512934</v>
      </c>
      <c r="H51" s="453">
        <f t="shared" si="25"/>
        <v>19648.396128512934</v>
      </c>
      <c r="I51" s="473">
        <f t="shared" si="26"/>
        <v>0</v>
      </c>
      <c r="J51" s="473"/>
      <c r="K51" s="485"/>
      <c r="L51" s="476">
        <f t="shared" si="27"/>
        <v>0</v>
      </c>
      <c r="M51" s="485"/>
      <c r="N51" s="476">
        <f t="shared" si="28"/>
        <v>0</v>
      </c>
      <c r="O51" s="476">
        <f t="shared" si="29"/>
        <v>0</v>
      </c>
      <c r="P51" s="241"/>
    </row>
    <row r="52" spans="2:16" ht="12.5">
      <c r="B52" s="160" t="str">
        <f t="shared" si="6"/>
        <v/>
      </c>
      <c r="C52" s="470">
        <f>IF(D11="","-",+C51+1)</f>
        <v>2041</v>
      </c>
      <c r="D52" s="483">
        <f>IF(F51+SUM(E$17:E51)=D$10,F51,D$10-SUM(E$17:E51))</f>
        <v>76349.147253538889</v>
      </c>
      <c r="E52" s="482">
        <f>IF(+I14&lt;F51,I14,D52)</f>
        <v>9942.1025641025644</v>
      </c>
      <c r="F52" s="483">
        <f t="shared" si="23"/>
        <v>66407.044689436327</v>
      </c>
      <c r="G52" s="484">
        <f t="shared" si="24"/>
        <v>18461.717199139406</v>
      </c>
      <c r="H52" s="453">
        <f t="shared" si="25"/>
        <v>18461.717199139406</v>
      </c>
      <c r="I52" s="473">
        <f t="shared" si="26"/>
        <v>0</v>
      </c>
      <c r="J52" s="473"/>
      <c r="K52" s="485"/>
      <c r="L52" s="476">
        <f t="shared" si="27"/>
        <v>0</v>
      </c>
      <c r="M52" s="485"/>
      <c r="N52" s="476">
        <f t="shared" si="28"/>
        <v>0</v>
      </c>
      <c r="O52" s="476">
        <f t="shared" si="29"/>
        <v>0</v>
      </c>
      <c r="P52" s="241"/>
    </row>
    <row r="53" spans="2:16" ht="12.5">
      <c r="B53" s="160" t="str">
        <f t="shared" si="6"/>
        <v/>
      </c>
      <c r="C53" s="470">
        <f>IF(D11="","-",+C52+1)</f>
        <v>2042</v>
      </c>
      <c r="D53" s="483">
        <f>IF(F52+SUM(E$17:E52)=D$10,F52,D$10-SUM(E$17:E52))</f>
        <v>66407.044689436327</v>
      </c>
      <c r="E53" s="482">
        <f>IF(+I14&lt;F52,I14,D53)</f>
        <v>9942.1025641025644</v>
      </c>
      <c r="F53" s="483">
        <f t="shared" si="23"/>
        <v>56464.942125333764</v>
      </c>
      <c r="G53" s="484">
        <f t="shared" si="24"/>
        <v>17275.038269765886</v>
      </c>
      <c r="H53" s="453">
        <f t="shared" si="25"/>
        <v>17275.038269765886</v>
      </c>
      <c r="I53" s="473">
        <f t="shared" si="26"/>
        <v>0</v>
      </c>
      <c r="J53" s="473"/>
      <c r="K53" s="485"/>
      <c r="L53" s="476">
        <f t="shared" si="27"/>
        <v>0</v>
      </c>
      <c r="M53" s="485"/>
      <c r="N53" s="476">
        <f t="shared" si="28"/>
        <v>0</v>
      </c>
      <c r="O53" s="476">
        <f t="shared" si="29"/>
        <v>0</v>
      </c>
      <c r="P53" s="241"/>
    </row>
    <row r="54" spans="2:16" ht="12.5">
      <c r="B54" s="160" t="str">
        <f t="shared" si="6"/>
        <v/>
      </c>
      <c r="C54" s="470">
        <f>IF(D11="","-",+C53+1)</f>
        <v>2043</v>
      </c>
      <c r="D54" s="483">
        <f>IF(F53+SUM(E$17:E53)=D$10,F53,D$10-SUM(E$17:E53))</f>
        <v>56464.942125333764</v>
      </c>
      <c r="E54" s="482">
        <f>IF(+I14&lt;F53,I14,D54)</f>
        <v>9942.1025641025644</v>
      </c>
      <c r="F54" s="483">
        <f t="shared" si="23"/>
        <v>46522.839561231202</v>
      </c>
      <c r="G54" s="484">
        <f t="shared" si="24"/>
        <v>16088.359340392362</v>
      </c>
      <c r="H54" s="453">
        <f t="shared" si="25"/>
        <v>16088.359340392362</v>
      </c>
      <c r="I54" s="473">
        <f t="shared" si="26"/>
        <v>0</v>
      </c>
      <c r="J54" s="473"/>
      <c r="K54" s="485"/>
      <c r="L54" s="476">
        <f t="shared" si="27"/>
        <v>0</v>
      </c>
      <c r="M54" s="485"/>
      <c r="N54" s="476">
        <f t="shared" si="28"/>
        <v>0</v>
      </c>
      <c r="O54" s="476">
        <f t="shared" si="29"/>
        <v>0</v>
      </c>
      <c r="P54" s="241"/>
    </row>
    <row r="55" spans="2:16" ht="12.5">
      <c r="B55" s="160" t="str">
        <f t="shared" si="6"/>
        <v/>
      </c>
      <c r="C55" s="470">
        <f>IF(D11="","-",+C54+1)</f>
        <v>2044</v>
      </c>
      <c r="D55" s="483">
        <f>IF(F54+SUM(E$17:E54)=D$10,F54,D$10-SUM(E$17:E54))</f>
        <v>46522.839561231202</v>
      </c>
      <c r="E55" s="482">
        <f>IF(+I14&lt;F54,I14,D55)</f>
        <v>9942.1025641025644</v>
      </c>
      <c r="F55" s="483">
        <f t="shared" si="23"/>
        <v>36580.736997128639</v>
      </c>
      <c r="G55" s="484">
        <f t="shared" si="24"/>
        <v>14901.680411018839</v>
      </c>
      <c r="H55" s="453">
        <f t="shared" si="25"/>
        <v>14901.680411018839</v>
      </c>
      <c r="I55" s="473">
        <f t="shared" si="26"/>
        <v>0</v>
      </c>
      <c r="J55" s="473"/>
      <c r="K55" s="485"/>
      <c r="L55" s="476">
        <f t="shared" si="27"/>
        <v>0</v>
      </c>
      <c r="M55" s="485"/>
      <c r="N55" s="476">
        <f t="shared" si="28"/>
        <v>0</v>
      </c>
      <c r="O55" s="476">
        <f t="shared" si="29"/>
        <v>0</v>
      </c>
      <c r="P55" s="241"/>
    </row>
    <row r="56" spans="2:16" ht="12.5">
      <c r="B56" s="160" t="str">
        <f t="shared" si="6"/>
        <v/>
      </c>
      <c r="C56" s="470">
        <f>IF(D11="","-",+C55+1)</f>
        <v>2045</v>
      </c>
      <c r="D56" s="483">
        <f>IF(F55+SUM(E$17:E55)=D$10,F55,D$10-SUM(E$17:E55))</f>
        <v>36580.736997128639</v>
      </c>
      <c r="E56" s="482">
        <f>IF(+I14&lt;F55,I14,D56)</f>
        <v>9942.1025641025644</v>
      </c>
      <c r="F56" s="483">
        <f t="shared" si="23"/>
        <v>26638.634433026076</v>
      </c>
      <c r="G56" s="484">
        <f t="shared" si="24"/>
        <v>13715.001481645315</v>
      </c>
      <c r="H56" s="453">
        <f t="shared" si="25"/>
        <v>13715.001481645315</v>
      </c>
      <c r="I56" s="473">
        <f t="shared" si="26"/>
        <v>0</v>
      </c>
      <c r="J56" s="473"/>
      <c r="K56" s="485"/>
      <c r="L56" s="476">
        <f t="shared" si="27"/>
        <v>0</v>
      </c>
      <c r="M56" s="485"/>
      <c r="N56" s="476">
        <f t="shared" si="28"/>
        <v>0</v>
      </c>
      <c r="O56" s="476">
        <f t="shared" si="29"/>
        <v>0</v>
      </c>
      <c r="P56" s="241"/>
    </row>
    <row r="57" spans="2:16" ht="12.5">
      <c r="B57" s="160" t="str">
        <f t="shared" si="6"/>
        <v/>
      </c>
      <c r="C57" s="470">
        <f>IF(D11="","-",+C56+1)</f>
        <v>2046</v>
      </c>
      <c r="D57" s="483">
        <f>IF(F56+SUM(E$17:E56)=D$10,F56,D$10-SUM(E$17:E56))</f>
        <v>26638.634433026076</v>
      </c>
      <c r="E57" s="482">
        <f>IF(+I14&lt;F56,I14,D57)</f>
        <v>9942.1025641025644</v>
      </c>
      <c r="F57" s="483">
        <f t="shared" si="23"/>
        <v>16696.531868923514</v>
      </c>
      <c r="G57" s="484">
        <f t="shared" si="24"/>
        <v>12528.322552271791</v>
      </c>
      <c r="H57" s="453">
        <f t="shared" si="25"/>
        <v>12528.322552271791</v>
      </c>
      <c r="I57" s="473">
        <f t="shared" si="26"/>
        <v>0</v>
      </c>
      <c r="J57" s="473"/>
      <c r="K57" s="485"/>
      <c r="L57" s="476">
        <f t="shared" si="27"/>
        <v>0</v>
      </c>
      <c r="M57" s="485"/>
      <c r="N57" s="476">
        <f t="shared" si="28"/>
        <v>0</v>
      </c>
      <c r="O57" s="476">
        <f t="shared" si="29"/>
        <v>0</v>
      </c>
      <c r="P57" s="241"/>
    </row>
    <row r="58" spans="2:16" ht="12.5">
      <c r="B58" s="160" t="str">
        <f t="shared" si="6"/>
        <v/>
      </c>
      <c r="C58" s="470">
        <f>IF(D11="","-",+C57+1)</f>
        <v>2047</v>
      </c>
      <c r="D58" s="483">
        <f>IF(F57+SUM(E$17:E57)=D$10,F57,D$10-SUM(E$17:E57))</f>
        <v>16696.531868923514</v>
      </c>
      <c r="E58" s="482">
        <f>IF(+I14&lt;F57,I14,D58)</f>
        <v>9942.1025641025644</v>
      </c>
      <c r="F58" s="483">
        <f t="shared" si="23"/>
        <v>6754.4293048209493</v>
      </c>
      <c r="G58" s="484">
        <f t="shared" si="24"/>
        <v>11341.643622898267</v>
      </c>
      <c r="H58" s="453">
        <f t="shared" si="25"/>
        <v>11341.643622898267</v>
      </c>
      <c r="I58" s="473">
        <f t="shared" si="26"/>
        <v>0</v>
      </c>
      <c r="J58" s="473"/>
      <c r="K58" s="485"/>
      <c r="L58" s="476">
        <f t="shared" si="27"/>
        <v>0</v>
      </c>
      <c r="M58" s="485"/>
      <c r="N58" s="476">
        <f t="shared" si="28"/>
        <v>0</v>
      </c>
      <c r="O58" s="476">
        <f t="shared" si="29"/>
        <v>0</v>
      </c>
      <c r="P58" s="241"/>
    </row>
    <row r="59" spans="2:16" ht="12.5">
      <c r="B59" s="160" t="str">
        <f t="shared" si="6"/>
        <v/>
      </c>
      <c r="C59" s="470">
        <f>IF(D11="","-",+C58+1)</f>
        <v>2048</v>
      </c>
      <c r="D59" s="483">
        <f>IF(F58+SUM(E$17:E58)=D$10,F58,D$10-SUM(E$17:E58))</f>
        <v>6754.4293048209493</v>
      </c>
      <c r="E59" s="482">
        <f>IF(+I14&lt;F58,I14,D59)</f>
        <v>6754.4293048209493</v>
      </c>
      <c r="F59" s="483">
        <f t="shared" si="23"/>
        <v>0</v>
      </c>
      <c r="G59" s="484">
        <f t="shared" si="24"/>
        <v>7157.5301018754199</v>
      </c>
      <c r="H59" s="453">
        <f t="shared" si="25"/>
        <v>7157.5301018754199</v>
      </c>
      <c r="I59" s="473">
        <f t="shared" si="26"/>
        <v>0</v>
      </c>
      <c r="J59" s="473"/>
      <c r="K59" s="485"/>
      <c r="L59" s="476">
        <f t="shared" si="27"/>
        <v>0</v>
      </c>
      <c r="M59" s="485"/>
      <c r="N59" s="476">
        <f t="shared" si="28"/>
        <v>0</v>
      </c>
      <c r="O59" s="476">
        <f t="shared" si="29"/>
        <v>0</v>
      </c>
      <c r="P59" s="241"/>
    </row>
    <row r="60" spans="2:16" ht="12.5">
      <c r="B60" s="160" t="str">
        <f t="shared" si="6"/>
        <v/>
      </c>
      <c r="C60" s="470">
        <f>IF(D11="","-",+C59+1)</f>
        <v>2049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3"/>
        <v>0</v>
      </c>
      <c r="G60" s="484">
        <f t="shared" si="24"/>
        <v>0</v>
      </c>
      <c r="H60" s="453">
        <f t="shared" si="25"/>
        <v>0</v>
      </c>
      <c r="I60" s="473">
        <f t="shared" si="26"/>
        <v>0</v>
      </c>
      <c r="J60" s="473"/>
      <c r="K60" s="485"/>
      <c r="L60" s="476">
        <f t="shared" si="27"/>
        <v>0</v>
      </c>
      <c r="M60" s="485"/>
      <c r="N60" s="476">
        <f t="shared" si="28"/>
        <v>0</v>
      </c>
      <c r="O60" s="476">
        <f t="shared" si="29"/>
        <v>0</v>
      </c>
      <c r="P60" s="241"/>
    </row>
    <row r="61" spans="2:16" ht="12.5">
      <c r="B61" s="160" t="str">
        <f t="shared" si="6"/>
        <v/>
      </c>
      <c r="C61" s="470">
        <f>IF(D11="","-",+C60+1)</f>
        <v>2050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3"/>
        <v>0</v>
      </c>
      <c r="G61" s="484">
        <f t="shared" si="24"/>
        <v>0</v>
      </c>
      <c r="H61" s="453">
        <f t="shared" si="25"/>
        <v>0</v>
      </c>
      <c r="I61" s="473">
        <f t="shared" si="26"/>
        <v>0</v>
      </c>
      <c r="J61" s="473"/>
      <c r="K61" s="485"/>
      <c r="L61" s="476">
        <f t="shared" si="27"/>
        <v>0</v>
      </c>
      <c r="M61" s="485"/>
      <c r="N61" s="476">
        <f t="shared" si="28"/>
        <v>0</v>
      </c>
      <c r="O61" s="476">
        <f t="shared" si="29"/>
        <v>0</v>
      </c>
      <c r="P61" s="241"/>
    </row>
    <row r="62" spans="2:16" ht="12.5">
      <c r="B62" s="160" t="str">
        <f t="shared" si="6"/>
        <v/>
      </c>
      <c r="C62" s="470">
        <f>IF(D11="","-",+C61+1)</f>
        <v>2051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3"/>
        <v>0</v>
      </c>
      <c r="G62" s="484">
        <f t="shared" si="24"/>
        <v>0</v>
      </c>
      <c r="H62" s="453">
        <f t="shared" si="25"/>
        <v>0</v>
      </c>
      <c r="I62" s="473">
        <f t="shared" si="26"/>
        <v>0</v>
      </c>
      <c r="J62" s="473"/>
      <c r="K62" s="485"/>
      <c r="L62" s="476">
        <f t="shared" si="27"/>
        <v>0</v>
      </c>
      <c r="M62" s="485"/>
      <c r="N62" s="476">
        <f t="shared" si="28"/>
        <v>0</v>
      </c>
      <c r="O62" s="476">
        <f t="shared" si="29"/>
        <v>0</v>
      </c>
      <c r="P62" s="241"/>
    </row>
    <row r="63" spans="2:16" ht="12.5">
      <c r="B63" s="160" t="str">
        <f t="shared" si="6"/>
        <v/>
      </c>
      <c r="C63" s="470">
        <f>IF(D11="","-",+C62+1)</f>
        <v>2052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3"/>
        <v>0</v>
      </c>
      <c r="G63" s="484">
        <f t="shared" si="24"/>
        <v>0</v>
      </c>
      <c r="H63" s="453">
        <f t="shared" si="25"/>
        <v>0</v>
      </c>
      <c r="I63" s="473">
        <f t="shared" si="26"/>
        <v>0</v>
      </c>
      <c r="J63" s="473"/>
      <c r="K63" s="485"/>
      <c r="L63" s="476">
        <f t="shared" si="27"/>
        <v>0</v>
      </c>
      <c r="M63" s="485"/>
      <c r="N63" s="476">
        <f t="shared" si="28"/>
        <v>0</v>
      </c>
      <c r="O63" s="476">
        <f t="shared" si="29"/>
        <v>0</v>
      </c>
      <c r="P63" s="241"/>
    </row>
    <row r="64" spans="2:16" ht="12.5">
      <c r="B64" s="160" t="str">
        <f t="shared" si="6"/>
        <v/>
      </c>
      <c r="C64" s="470">
        <f>IF(D11="","-",+C63+1)</f>
        <v>2053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3"/>
        <v>0</v>
      </c>
      <c r="G64" s="484">
        <f t="shared" si="24"/>
        <v>0</v>
      </c>
      <c r="H64" s="453">
        <f t="shared" si="25"/>
        <v>0</v>
      </c>
      <c r="I64" s="473">
        <f t="shared" si="26"/>
        <v>0</v>
      </c>
      <c r="J64" s="473"/>
      <c r="K64" s="485"/>
      <c r="L64" s="476">
        <f t="shared" si="27"/>
        <v>0</v>
      </c>
      <c r="M64" s="485"/>
      <c r="N64" s="476">
        <f t="shared" si="28"/>
        <v>0</v>
      </c>
      <c r="O64" s="476">
        <f t="shared" si="29"/>
        <v>0</v>
      </c>
      <c r="P64" s="241"/>
    </row>
    <row r="65" spans="2:16" ht="12.5">
      <c r="B65" s="160" t="str">
        <f t="shared" si="6"/>
        <v/>
      </c>
      <c r="C65" s="470">
        <f>IF(D11="","-",+C64+1)</f>
        <v>2054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3"/>
        <v>0</v>
      </c>
      <c r="G65" s="484">
        <f t="shared" si="24"/>
        <v>0</v>
      </c>
      <c r="H65" s="453">
        <f t="shared" si="25"/>
        <v>0</v>
      </c>
      <c r="I65" s="473">
        <f t="shared" si="26"/>
        <v>0</v>
      </c>
      <c r="J65" s="473"/>
      <c r="K65" s="485"/>
      <c r="L65" s="476">
        <f t="shared" si="27"/>
        <v>0</v>
      </c>
      <c r="M65" s="485"/>
      <c r="N65" s="476">
        <f t="shared" si="28"/>
        <v>0</v>
      </c>
      <c r="O65" s="476">
        <f t="shared" si="29"/>
        <v>0</v>
      </c>
      <c r="P65" s="241"/>
    </row>
    <row r="66" spans="2:16" ht="12.5">
      <c r="B66" s="160" t="str">
        <f t="shared" si="6"/>
        <v/>
      </c>
      <c r="C66" s="470">
        <f>IF(D11="","-",+C65+1)</f>
        <v>2055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3"/>
        <v>0</v>
      </c>
      <c r="G66" s="484">
        <f t="shared" si="24"/>
        <v>0</v>
      </c>
      <c r="H66" s="453">
        <f t="shared" si="25"/>
        <v>0</v>
      </c>
      <c r="I66" s="473">
        <f t="shared" si="26"/>
        <v>0</v>
      </c>
      <c r="J66" s="473"/>
      <c r="K66" s="485"/>
      <c r="L66" s="476">
        <f t="shared" si="27"/>
        <v>0</v>
      </c>
      <c r="M66" s="485"/>
      <c r="N66" s="476">
        <f t="shared" si="28"/>
        <v>0</v>
      </c>
      <c r="O66" s="476">
        <f t="shared" si="29"/>
        <v>0</v>
      </c>
      <c r="P66" s="241"/>
    </row>
    <row r="67" spans="2:16" ht="12.5">
      <c r="B67" s="160" t="str">
        <f t="shared" si="6"/>
        <v/>
      </c>
      <c r="C67" s="470">
        <f>IF(D11="","-",+C66+1)</f>
        <v>2056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3"/>
        <v>0</v>
      </c>
      <c r="G67" s="484">
        <f t="shared" si="24"/>
        <v>0</v>
      </c>
      <c r="H67" s="453">
        <f t="shared" si="25"/>
        <v>0</v>
      </c>
      <c r="I67" s="473">
        <f t="shared" si="26"/>
        <v>0</v>
      </c>
      <c r="J67" s="473"/>
      <c r="K67" s="485"/>
      <c r="L67" s="476">
        <f t="shared" si="27"/>
        <v>0</v>
      </c>
      <c r="M67" s="485"/>
      <c r="N67" s="476">
        <f t="shared" si="28"/>
        <v>0</v>
      </c>
      <c r="O67" s="476">
        <f t="shared" si="29"/>
        <v>0</v>
      </c>
      <c r="P67" s="241"/>
    </row>
    <row r="68" spans="2:16" ht="12.5">
      <c r="B68" s="160" t="str">
        <f t="shared" si="6"/>
        <v/>
      </c>
      <c r="C68" s="470">
        <f>IF(D11="","-",+C67+1)</f>
        <v>2057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3"/>
        <v>0</v>
      </c>
      <c r="G68" s="484">
        <f t="shared" si="24"/>
        <v>0</v>
      </c>
      <c r="H68" s="453">
        <f t="shared" si="25"/>
        <v>0</v>
      </c>
      <c r="I68" s="473">
        <f t="shared" si="26"/>
        <v>0</v>
      </c>
      <c r="J68" s="473"/>
      <c r="K68" s="485"/>
      <c r="L68" s="476">
        <f t="shared" si="27"/>
        <v>0</v>
      </c>
      <c r="M68" s="485"/>
      <c r="N68" s="476">
        <f t="shared" si="28"/>
        <v>0</v>
      </c>
      <c r="O68" s="476">
        <f t="shared" si="29"/>
        <v>0</v>
      </c>
      <c r="P68" s="241"/>
    </row>
    <row r="69" spans="2:16" ht="12.5">
      <c r="B69" s="160" t="str">
        <f t="shared" si="6"/>
        <v/>
      </c>
      <c r="C69" s="470">
        <f>IF(D11="","-",+C68+1)</f>
        <v>2058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3"/>
        <v>0</v>
      </c>
      <c r="G69" s="484">
        <f t="shared" si="24"/>
        <v>0</v>
      </c>
      <c r="H69" s="453">
        <f t="shared" si="25"/>
        <v>0</v>
      </c>
      <c r="I69" s="473">
        <f t="shared" si="26"/>
        <v>0</v>
      </c>
      <c r="J69" s="473"/>
      <c r="K69" s="485"/>
      <c r="L69" s="476">
        <f t="shared" si="27"/>
        <v>0</v>
      </c>
      <c r="M69" s="485"/>
      <c r="N69" s="476">
        <f t="shared" si="28"/>
        <v>0</v>
      </c>
      <c r="O69" s="476">
        <f t="shared" si="29"/>
        <v>0</v>
      </c>
      <c r="P69" s="241"/>
    </row>
    <row r="70" spans="2:16" ht="12.5">
      <c r="B70" s="160" t="str">
        <f t="shared" si="6"/>
        <v/>
      </c>
      <c r="C70" s="470">
        <f>IF(D11="","-",+C69+1)</f>
        <v>2059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3"/>
        <v>0</v>
      </c>
      <c r="G70" s="484">
        <f t="shared" si="24"/>
        <v>0</v>
      </c>
      <c r="H70" s="453">
        <f t="shared" si="25"/>
        <v>0</v>
      </c>
      <c r="I70" s="473">
        <f t="shared" si="26"/>
        <v>0</v>
      </c>
      <c r="J70" s="473"/>
      <c r="K70" s="485"/>
      <c r="L70" s="476">
        <f t="shared" si="27"/>
        <v>0</v>
      </c>
      <c r="M70" s="485"/>
      <c r="N70" s="476">
        <f t="shared" si="28"/>
        <v>0</v>
      </c>
      <c r="O70" s="476">
        <f t="shared" si="29"/>
        <v>0</v>
      </c>
      <c r="P70" s="241"/>
    </row>
    <row r="71" spans="2:16" ht="12.5">
      <c r="B71" s="160" t="str">
        <f t="shared" si="6"/>
        <v/>
      </c>
      <c r="C71" s="470">
        <f>IF(D11="","-",+C70+1)</f>
        <v>2060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3"/>
        <v>0</v>
      </c>
      <c r="G71" s="484">
        <f t="shared" si="24"/>
        <v>0</v>
      </c>
      <c r="H71" s="453">
        <f t="shared" si="25"/>
        <v>0</v>
      </c>
      <c r="I71" s="473">
        <f t="shared" si="26"/>
        <v>0</v>
      </c>
      <c r="J71" s="473"/>
      <c r="K71" s="485"/>
      <c r="L71" s="476">
        <f t="shared" si="27"/>
        <v>0</v>
      </c>
      <c r="M71" s="485"/>
      <c r="N71" s="476">
        <f t="shared" si="28"/>
        <v>0</v>
      </c>
      <c r="O71" s="476">
        <f t="shared" si="29"/>
        <v>0</v>
      </c>
      <c r="P71" s="241"/>
    </row>
    <row r="72" spans="2:16" ht="13" thickBot="1">
      <c r="B72" s="160" t="str">
        <f t="shared" si="6"/>
        <v/>
      </c>
      <c r="C72" s="487">
        <f>IF(D11="","-",+C71+1)</f>
        <v>2061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3"/>
        <v>0</v>
      </c>
      <c r="G72" s="488">
        <f t="shared" si="24"/>
        <v>0</v>
      </c>
      <c r="H72" s="488">
        <f t="shared" si="25"/>
        <v>0</v>
      </c>
      <c r="I72" s="491">
        <f t="shared" si="26"/>
        <v>0</v>
      </c>
      <c r="J72" s="473"/>
      <c r="K72" s="492"/>
      <c r="L72" s="493">
        <f t="shared" si="27"/>
        <v>0</v>
      </c>
      <c r="M72" s="492"/>
      <c r="N72" s="493">
        <f t="shared" si="28"/>
        <v>0</v>
      </c>
      <c r="O72" s="493">
        <f t="shared" si="29"/>
        <v>0</v>
      </c>
      <c r="P72" s="241"/>
    </row>
    <row r="73" spans="2:16" ht="12.5">
      <c r="C73" s="345" t="s">
        <v>77</v>
      </c>
      <c r="D73" s="346"/>
      <c r="E73" s="346">
        <f>SUM(E17:E72)</f>
        <v>387742</v>
      </c>
      <c r="F73" s="346"/>
      <c r="G73" s="346">
        <f>SUM(G17:G72)</f>
        <v>1458115.3069974463</v>
      </c>
      <c r="H73" s="346">
        <f>SUM(H17:H72)</f>
        <v>1458115.3069974463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5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39228.598463176066</v>
      </c>
      <c r="N87" s="506">
        <f>IF(J92&lt;D11,0,VLOOKUP(J92,C17:O72,11))</f>
        <v>39228.598463176066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38573.430896853468</v>
      </c>
      <c r="N88" s="510">
        <f>IF(J92&lt;D11,0,VLOOKUP(J92,C99:P154,7))</f>
        <v>38573.430896853468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Catoosa 138 kV Device (Cap. Bank)</v>
      </c>
      <c r="E89" s="231"/>
      <c r="F89" s="231"/>
      <c r="G89" s="231">
        <v>387742</v>
      </c>
      <c r="H89" s="231"/>
      <c r="I89" s="240"/>
      <c r="J89" s="240"/>
      <c r="K89" s="513"/>
      <c r="L89" s="514" t="s">
        <v>156</v>
      </c>
      <c r="M89" s="515">
        <f>+M88-M87</f>
        <v>-655.16756632259785</v>
      </c>
      <c r="N89" s="515">
        <f>+N88-N87</f>
        <v>-655.16756632259785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TP2005006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387742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2006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5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10204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101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2006</v>
      </c>
      <c r="D99" s="471">
        <f>IF(D93=C99,0,D92)</f>
        <v>0</v>
      </c>
      <c r="E99" s="478">
        <v>3801</v>
      </c>
      <c r="F99" s="477">
        <v>383941</v>
      </c>
      <c r="G99" s="535">
        <v>385841</v>
      </c>
      <c r="H99" s="536">
        <v>0</v>
      </c>
      <c r="I99" s="537">
        <v>0</v>
      </c>
      <c r="J99" s="476">
        <f t="shared" ref="J99:J130" si="30">+I99-H99</f>
        <v>0</v>
      </c>
      <c r="K99" s="476"/>
      <c r="L99" s="552">
        <v>0</v>
      </c>
      <c r="M99" s="560">
        <f>IF(L99&lt;&gt;0,+H99-L99,0)</f>
        <v>0</v>
      </c>
      <c r="N99" s="552">
        <v>0</v>
      </c>
      <c r="O99" s="475">
        <f>IF(N99&lt;&gt;0,+I99-N99,0)</f>
        <v>0</v>
      </c>
      <c r="P99" s="475">
        <f t="shared" ref="P99:P130" si="31">+O99-M99</f>
        <v>0</v>
      </c>
    </row>
    <row r="100" spans="1:16" ht="12.5">
      <c r="B100" s="160" t="str">
        <f t="shared" ref="B100:B154" si="32">IF(D100=F99,"","IU")</f>
        <v/>
      </c>
      <c r="C100" s="470">
        <f>IF(D93="","-",+C99+1)</f>
        <v>2007</v>
      </c>
      <c r="D100" s="471">
        <v>383941</v>
      </c>
      <c r="E100" s="559">
        <v>7603</v>
      </c>
      <c r="F100" s="477">
        <v>376338</v>
      </c>
      <c r="G100" s="477">
        <v>380140</v>
      </c>
      <c r="H100" s="478">
        <v>66528</v>
      </c>
      <c r="I100" s="479">
        <v>66528</v>
      </c>
      <c r="J100" s="476">
        <f t="shared" si="30"/>
        <v>0</v>
      </c>
      <c r="K100" s="476"/>
      <c r="L100" s="474">
        <v>0</v>
      </c>
      <c r="M100" s="548">
        <f>IF(L100&lt;&gt;0,+H100-L100,0)</f>
        <v>0</v>
      </c>
      <c r="N100" s="474">
        <v>0</v>
      </c>
      <c r="O100" s="476">
        <f>IF(N100&lt;&gt;0,+I100-N100,0)</f>
        <v>0</v>
      </c>
      <c r="P100" s="476">
        <f t="shared" si="31"/>
        <v>0</v>
      </c>
    </row>
    <row r="101" spans="1:16" ht="12.5">
      <c r="B101" s="160"/>
      <c r="C101" s="470">
        <f>IF(D93="","-",+C100+1)</f>
        <v>2008</v>
      </c>
      <c r="D101" s="471">
        <v>376159</v>
      </c>
      <c r="E101" s="559">
        <v>7316</v>
      </c>
      <c r="F101" s="477">
        <v>368843</v>
      </c>
      <c r="G101" s="477">
        <v>372501</v>
      </c>
      <c r="H101" s="478">
        <v>66486</v>
      </c>
      <c r="I101" s="479">
        <v>66486</v>
      </c>
      <c r="J101" s="476">
        <f t="shared" si="30"/>
        <v>0</v>
      </c>
      <c r="K101" s="476"/>
      <c r="L101" s="474">
        <v>66486</v>
      </c>
      <c r="M101" s="476">
        <f>IF(L101&lt;&gt;"",+H101-L101,0)</f>
        <v>0</v>
      </c>
      <c r="N101" s="474">
        <v>66486</v>
      </c>
      <c r="O101" s="476">
        <f>IF(N101&lt;&gt;"",+I101-N101,0)</f>
        <v>0</v>
      </c>
      <c r="P101" s="476">
        <f t="shared" si="31"/>
        <v>0</v>
      </c>
    </row>
    <row r="102" spans="1:16" ht="12.5">
      <c r="B102" s="160"/>
      <c r="C102" s="470">
        <f>IF(D93="","-",+C101+1)</f>
        <v>2009</v>
      </c>
      <c r="D102" s="471">
        <v>369022</v>
      </c>
      <c r="E102" s="478">
        <v>6924</v>
      </c>
      <c r="F102" s="477">
        <v>362098</v>
      </c>
      <c r="G102" s="477">
        <v>365560</v>
      </c>
      <c r="H102" s="478">
        <v>60371.899487403767</v>
      </c>
      <c r="I102" s="479">
        <v>60371.899487403767</v>
      </c>
      <c r="J102" s="476">
        <f t="shared" si="30"/>
        <v>0</v>
      </c>
      <c r="K102" s="476"/>
      <c r="L102" s="474">
        <f t="shared" ref="L102:L107" si="33">H102</f>
        <v>60371.899487403767</v>
      </c>
      <c r="M102" s="548">
        <f t="shared" ref="M102:M133" si="34">IF(L102&lt;&gt;0,+H102-L102,0)</f>
        <v>0</v>
      </c>
      <c r="N102" s="474">
        <f t="shared" ref="N102:N107" si="35">I102</f>
        <v>60371.899487403767</v>
      </c>
      <c r="O102" s="476">
        <f t="shared" ref="O102:O133" si="36">IF(N102&lt;&gt;0,+I102-N102,0)</f>
        <v>0</v>
      </c>
      <c r="P102" s="476">
        <f t="shared" si="31"/>
        <v>0</v>
      </c>
    </row>
    <row r="103" spans="1:16" ht="12.5">
      <c r="B103" s="160" t="str">
        <f t="shared" si="32"/>
        <v/>
      </c>
      <c r="C103" s="470">
        <f>IF(D93="","-",+C102+1)</f>
        <v>2010</v>
      </c>
      <c r="D103" s="471">
        <v>362098</v>
      </c>
      <c r="E103" s="478">
        <v>7603</v>
      </c>
      <c r="F103" s="477">
        <v>354495</v>
      </c>
      <c r="G103" s="477">
        <v>358296.5</v>
      </c>
      <c r="H103" s="478">
        <v>65222.531099646738</v>
      </c>
      <c r="I103" s="479">
        <v>65222.531099646738</v>
      </c>
      <c r="J103" s="476">
        <f t="shared" si="30"/>
        <v>0</v>
      </c>
      <c r="K103" s="476"/>
      <c r="L103" s="538">
        <f t="shared" si="33"/>
        <v>65222.531099646738</v>
      </c>
      <c r="M103" s="539">
        <f t="shared" si="34"/>
        <v>0</v>
      </c>
      <c r="N103" s="538">
        <f t="shared" si="35"/>
        <v>65222.531099646738</v>
      </c>
      <c r="O103" s="476">
        <f t="shared" si="36"/>
        <v>0</v>
      </c>
      <c r="P103" s="476">
        <f t="shared" si="31"/>
        <v>0</v>
      </c>
    </row>
    <row r="104" spans="1:16" ht="12.5">
      <c r="B104" s="160" t="str">
        <f t="shared" si="32"/>
        <v/>
      </c>
      <c r="C104" s="470">
        <f>IF(D93="","-",+C103+1)</f>
        <v>2011</v>
      </c>
      <c r="D104" s="471">
        <v>354495</v>
      </c>
      <c r="E104" s="478">
        <v>7457</v>
      </c>
      <c r="F104" s="477">
        <v>347038</v>
      </c>
      <c r="G104" s="477">
        <v>350766.5</v>
      </c>
      <c r="H104" s="478">
        <v>56498.870276795831</v>
      </c>
      <c r="I104" s="479">
        <v>56498.870276795831</v>
      </c>
      <c r="J104" s="476">
        <f t="shared" si="30"/>
        <v>0</v>
      </c>
      <c r="K104" s="476"/>
      <c r="L104" s="538">
        <f t="shared" si="33"/>
        <v>56498.870276795831</v>
      </c>
      <c r="M104" s="539">
        <f t="shared" si="34"/>
        <v>0</v>
      </c>
      <c r="N104" s="538">
        <f t="shared" si="35"/>
        <v>56498.870276795831</v>
      </c>
      <c r="O104" s="476">
        <f t="shared" si="36"/>
        <v>0</v>
      </c>
      <c r="P104" s="476">
        <f t="shared" si="31"/>
        <v>0</v>
      </c>
    </row>
    <row r="105" spans="1:16" ht="12.5">
      <c r="B105" s="160" t="str">
        <f t="shared" si="32"/>
        <v/>
      </c>
      <c r="C105" s="470">
        <f>IF(D93="","-",+C104+1)</f>
        <v>2012</v>
      </c>
      <c r="D105" s="471">
        <v>347038</v>
      </c>
      <c r="E105" s="478">
        <v>7457</v>
      </c>
      <c r="F105" s="477">
        <v>339581</v>
      </c>
      <c r="G105" s="477">
        <v>343309.5</v>
      </c>
      <c r="H105" s="478">
        <v>56843.953528154576</v>
      </c>
      <c r="I105" s="479">
        <v>56843.953528154576</v>
      </c>
      <c r="J105" s="476">
        <v>0</v>
      </c>
      <c r="K105" s="476"/>
      <c r="L105" s="538">
        <f t="shared" si="33"/>
        <v>56843.953528154576</v>
      </c>
      <c r="M105" s="539">
        <f t="shared" ref="M105:M110" si="37">IF(L105&lt;&gt;0,+H105-L105,0)</f>
        <v>0</v>
      </c>
      <c r="N105" s="538">
        <f t="shared" si="35"/>
        <v>56843.953528154576</v>
      </c>
      <c r="O105" s="476">
        <f t="shared" ref="O105:O110" si="38">IF(N105&lt;&gt;0,+I105-N105,0)</f>
        <v>0</v>
      </c>
      <c r="P105" s="476">
        <f t="shared" ref="P105:P110" si="39">+O105-M105</f>
        <v>0</v>
      </c>
    </row>
    <row r="106" spans="1:16" ht="12.5">
      <c r="B106" s="160" t="str">
        <f t="shared" si="32"/>
        <v/>
      </c>
      <c r="C106" s="470">
        <f>IF(D93="","-",+C105+1)</f>
        <v>2013</v>
      </c>
      <c r="D106" s="471">
        <v>339581</v>
      </c>
      <c r="E106" s="478">
        <v>7457</v>
      </c>
      <c r="F106" s="477">
        <v>332124</v>
      </c>
      <c r="G106" s="477">
        <v>335852.5</v>
      </c>
      <c r="H106" s="478">
        <v>55799.472473591821</v>
      </c>
      <c r="I106" s="479">
        <v>55799.472473591821</v>
      </c>
      <c r="J106" s="476">
        <v>0</v>
      </c>
      <c r="K106" s="476"/>
      <c r="L106" s="538">
        <f t="shared" si="33"/>
        <v>55799.472473591821</v>
      </c>
      <c r="M106" s="539">
        <f t="shared" si="37"/>
        <v>0</v>
      </c>
      <c r="N106" s="538">
        <f t="shared" si="35"/>
        <v>55799.472473591821</v>
      </c>
      <c r="O106" s="476">
        <f t="shared" si="38"/>
        <v>0</v>
      </c>
      <c r="P106" s="476">
        <f t="shared" si="39"/>
        <v>0</v>
      </c>
    </row>
    <row r="107" spans="1:16" ht="12.5">
      <c r="B107" s="160" t="str">
        <f t="shared" si="32"/>
        <v/>
      </c>
      <c r="C107" s="470">
        <f>IF(D93="","-",+C106+1)</f>
        <v>2014</v>
      </c>
      <c r="D107" s="471">
        <v>332124</v>
      </c>
      <c r="E107" s="478">
        <v>7457</v>
      </c>
      <c r="F107" s="477">
        <v>324667</v>
      </c>
      <c r="G107" s="477">
        <v>328395.5</v>
      </c>
      <c r="H107" s="478">
        <v>53628.064898886892</v>
      </c>
      <c r="I107" s="479">
        <v>53628.064898886892</v>
      </c>
      <c r="J107" s="476">
        <v>0</v>
      </c>
      <c r="K107" s="476"/>
      <c r="L107" s="538">
        <f t="shared" si="33"/>
        <v>53628.064898886892</v>
      </c>
      <c r="M107" s="539">
        <f t="shared" si="37"/>
        <v>0</v>
      </c>
      <c r="N107" s="538">
        <f t="shared" si="35"/>
        <v>53628.064898886892</v>
      </c>
      <c r="O107" s="476">
        <f t="shared" si="38"/>
        <v>0</v>
      </c>
      <c r="P107" s="476">
        <f t="shared" si="39"/>
        <v>0</v>
      </c>
    </row>
    <row r="108" spans="1:16" ht="12.5">
      <c r="B108" s="160" t="str">
        <f t="shared" si="32"/>
        <v/>
      </c>
      <c r="C108" s="470">
        <f>IF(D93="","-",+C107+1)</f>
        <v>2015</v>
      </c>
      <c r="D108" s="471">
        <v>324667</v>
      </c>
      <c r="E108" s="478">
        <v>7457</v>
      </c>
      <c r="F108" s="477">
        <v>317210</v>
      </c>
      <c r="G108" s="477">
        <v>320938.5</v>
      </c>
      <c r="H108" s="478">
        <v>51246.477852296055</v>
      </c>
      <c r="I108" s="479">
        <v>51246.477852296055</v>
      </c>
      <c r="J108" s="476">
        <f t="shared" si="30"/>
        <v>0</v>
      </c>
      <c r="K108" s="476"/>
      <c r="L108" s="538">
        <f t="shared" ref="L108:L113" si="40">H108</f>
        <v>51246.477852296055</v>
      </c>
      <c r="M108" s="539">
        <f t="shared" si="37"/>
        <v>0</v>
      </c>
      <c r="N108" s="538">
        <f t="shared" ref="N108:N113" si="41">I108</f>
        <v>51246.477852296055</v>
      </c>
      <c r="O108" s="476">
        <f t="shared" si="38"/>
        <v>0</v>
      </c>
      <c r="P108" s="476">
        <f t="shared" si="39"/>
        <v>0</v>
      </c>
    </row>
    <row r="109" spans="1:16" ht="12.5">
      <c r="B109" s="160" t="str">
        <f t="shared" si="32"/>
        <v/>
      </c>
      <c r="C109" s="470">
        <f>IF(D93="","-",+C108+1)</f>
        <v>2016</v>
      </c>
      <c r="D109" s="471">
        <v>317210</v>
      </c>
      <c r="E109" s="478">
        <v>8429</v>
      </c>
      <c r="F109" s="477">
        <v>308781</v>
      </c>
      <c r="G109" s="477">
        <v>312995.5</v>
      </c>
      <c r="H109" s="478">
        <v>48779.04927680167</v>
      </c>
      <c r="I109" s="479">
        <v>48779.04927680167</v>
      </c>
      <c r="J109" s="476">
        <f t="shared" si="30"/>
        <v>0</v>
      </c>
      <c r="K109" s="476"/>
      <c r="L109" s="538">
        <f t="shared" si="40"/>
        <v>48779.04927680167</v>
      </c>
      <c r="M109" s="539">
        <f t="shared" si="37"/>
        <v>0</v>
      </c>
      <c r="N109" s="538">
        <f t="shared" si="41"/>
        <v>48779.04927680167</v>
      </c>
      <c r="O109" s="476">
        <f t="shared" si="38"/>
        <v>0</v>
      </c>
      <c r="P109" s="476">
        <f t="shared" si="39"/>
        <v>0</v>
      </c>
    </row>
    <row r="110" spans="1:16" ht="12.5">
      <c r="B110" s="160" t="str">
        <f t="shared" si="32"/>
        <v/>
      </c>
      <c r="C110" s="470">
        <f>IF(D93="","-",+C109+1)</f>
        <v>2017</v>
      </c>
      <c r="D110" s="471">
        <v>308781</v>
      </c>
      <c r="E110" s="478">
        <v>8429</v>
      </c>
      <c r="F110" s="477">
        <v>300352</v>
      </c>
      <c r="G110" s="477">
        <v>304566.5</v>
      </c>
      <c r="H110" s="478">
        <v>47064.028489702585</v>
      </c>
      <c r="I110" s="479">
        <v>47064.028489702585</v>
      </c>
      <c r="J110" s="476">
        <f t="shared" si="30"/>
        <v>0</v>
      </c>
      <c r="K110" s="476"/>
      <c r="L110" s="538">
        <f t="shared" si="40"/>
        <v>47064.028489702585</v>
      </c>
      <c r="M110" s="539">
        <f t="shared" si="37"/>
        <v>0</v>
      </c>
      <c r="N110" s="538">
        <f t="shared" si="41"/>
        <v>47064.028489702585</v>
      </c>
      <c r="O110" s="476">
        <f t="shared" si="38"/>
        <v>0</v>
      </c>
      <c r="P110" s="476">
        <f t="shared" si="39"/>
        <v>0</v>
      </c>
    </row>
    <row r="111" spans="1:16" ht="12.5">
      <c r="B111" s="160" t="str">
        <f t="shared" si="32"/>
        <v/>
      </c>
      <c r="C111" s="470">
        <f>IF(D93="","-",+C110+1)</f>
        <v>2018</v>
      </c>
      <c r="D111" s="471">
        <v>300352</v>
      </c>
      <c r="E111" s="478">
        <v>9017</v>
      </c>
      <c r="F111" s="477">
        <v>291335</v>
      </c>
      <c r="G111" s="477">
        <v>295843.5</v>
      </c>
      <c r="H111" s="478">
        <v>39410.649664559314</v>
      </c>
      <c r="I111" s="479">
        <v>39410.649664559314</v>
      </c>
      <c r="J111" s="476">
        <f t="shared" si="30"/>
        <v>0</v>
      </c>
      <c r="K111" s="476"/>
      <c r="L111" s="538">
        <f t="shared" si="40"/>
        <v>39410.649664559314</v>
      </c>
      <c r="M111" s="539">
        <f t="shared" ref="M111" si="42">IF(L111&lt;&gt;0,+H111-L111,0)</f>
        <v>0</v>
      </c>
      <c r="N111" s="538">
        <f t="shared" si="41"/>
        <v>39410.649664559314</v>
      </c>
      <c r="O111" s="476">
        <f t="shared" ref="O111" si="43">IF(N111&lt;&gt;0,+I111-N111,0)</f>
        <v>0</v>
      </c>
      <c r="P111" s="476">
        <f t="shared" ref="P111" si="44">+O111-M111</f>
        <v>0</v>
      </c>
    </row>
    <row r="112" spans="1:16" ht="12.5">
      <c r="B112" s="160" t="str">
        <f t="shared" si="32"/>
        <v/>
      </c>
      <c r="C112" s="470">
        <f>IF(D93="","-",+C111+1)</f>
        <v>2019</v>
      </c>
      <c r="D112" s="471">
        <v>291335</v>
      </c>
      <c r="E112" s="478">
        <v>9457</v>
      </c>
      <c r="F112" s="477">
        <v>281878</v>
      </c>
      <c r="G112" s="477">
        <v>286606.5</v>
      </c>
      <c r="H112" s="478">
        <v>39010.150115878176</v>
      </c>
      <c r="I112" s="479">
        <v>39010.150115878176</v>
      </c>
      <c r="J112" s="476">
        <f t="shared" si="30"/>
        <v>0</v>
      </c>
      <c r="K112" s="476"/>
      <c r="L112" s="538">
        <f t="shared" si="40"/>
        <v>39010.150115878176</v>
      </c>
      <c r="M112" s="539">
        <f t="shared" ref="M112" si="45">IF(L112&lt;&gt;0,+H112-L112,0)</f>
        <v>0</v>
      </c>
      <c r="N112" s="538">
        <f t="shared" si="41"/>
        <v>39010.150115878176</v>
      </c>
      <c r="O112" s="476">
        <f t="shared" si="36"/>
        <v>0</v>
      </c>
      <c r="P112" s="476">
        <f t="shared" si="31"/>
        <v>0</v>
      </c>
    </row>
    <row r="113" spans="2:16" ht="12.5">
      <c r="B113" s="160" t="str">
        <f t="shared" si="32"/>
        <v/>
      </c>
      <c r="C113" s="470">
        <f>IF(D93="","-",+C112+1)</f>
        <v>2020</v>
      </c>
      <c r="D113" s="471">
        <v>281878</v>
      </c>
      <c r="E113" s="478">
        <v>9017</v>
      </c>
      <c r="F113" s="477">
        <v>272861</v>
      </c>
      <c r="G113" s="477">
        <v>277369.5</v>
      </c>
      <c r="H113" s="478">
        <v>40996.940785437022</v>
      </c>
      <c r="I113" s="479">
        <v>40996.940785437022</v>
      </c>
      <c r="J113" s="476">
        <f t="shared" si="30"/>
        <v>0</v>
      </c>
      <c r="K113" s="476"/>
      <c r="L113" s="538">
        <f t="shared" si="40"/>
        <v>40996.940785437022</v>
      </c>
      <c r="M113" s="539">
        <f t="shared" ref="M113" si="46">IF(L113&lt;&gt;0,+H113-L113,0)</f>
        <v>0</v>
      </c>
      <c r="N113" s="538">
        <f t="shared" si="41"/>
        <v>40996.940785437022</v>
      </c>
      <c r="O113" s="476">
        <f t="shared" si="36"/>
        <v>0</v>
      </c>
      <c r="P113" s="476">
        <f t="shared" si="31"/>
        <v>0</v>
      </c>
    </row>
    <row r="114" spans="2:16" ht="12.5">
      <c r="B114" s="160" t="str">
        <f t="shared" si="32"/>
        <v/>
      </c>
      <c r="C114" s="470">
        <f>IF(D93="","-",+C113+1)</f>
        <v>2021</v>
      </c>
      <c r="D114" s="471">
        <v>272861</v>
      </c>
      <c r="E114" s="478">
        <v>9457</v>
      </c>
      <c r="F114" s="477">
        <v>263404</v>
      </c>
      <c r="G114" s="477">
        <v>268132.5</v>
      </c>
      <c r="H114" s="478">
        <v>39968.546077508974</v>
      </c>
      <c r="I114" s="479">
        <v>39968.546077508974</v>
      </c>
      <c r="J114" s="476">
        <f t="shared" si="30"/>
        <v>0</v>
      </c>
      <c r="K114" s="476"/>
      <c r="L114" s="538">
        <f t="shared" ref="L114" si="47">H114</f>
        <v>39968.546077508974</v>
      </c>
      <c r="M114" s="539">
        <f t="shared" ref="M114" si="48">IF(L114&lt;&gt;0,+H114-L114,0)</f>
        <v>0</v>
      </c>
      <c r="N114" s="538">
        <f t="shared" ref="N114" si="49">I114</f>
        <v>39968.546077508974</v>
      </c>
      <c r="O114" s="476">
        <f t="shared" si="36"/>
        <v>0</v>
      </c>
      <c r="P114" s="476">
        <f t="shared" si="31"/>
        <v>0</v>
      </c>
    </row>
    <row r="115" spans="2:16" ht="12.5">
      <c r="B115" s="160" t="str">
        <f t="shared" si="32"/>
        <v/>
      </c>
      <c r="C115" s="470">
        <f>IF(D93="","-",+C114+1)</f>
        <v>2022</v>
      </c>
      <c r="D115" s="471">
        <v>263404</v>
      </c>
      <c r="E115" s="478">
        <v>9942</v>
      </c>
      <c r="F115" s="477">
        <v>253462</v>
      </c>
      <c r="G115" s="477">
        <v>258433</v>
      </c>
      <c r="H115" s="478">
        <v>38416.833530612799</v>
      </c>
      <c r="I115" s="479">
        <v>38416.833530612799</v>
      </c>
      <c r="J115" s="476">
        <f t="shared" si="30"/>
        <v>0</v>
      </c>
      <c r="K115" s="476"/>
      <c r="L115" s="538">
        <f t="shared" ref="L115" si="50">H115</f>
        <v>38416.833530612799</v>
      </c>
      <c r="M115" s="539">
        <f t="shared" ref="M115" si="51">IF(L115&lt;&gt;0,+H115-L115,0)</f>
        <v>0</v>
      </c>
      <c r="N115" s="538">
        <f t="shared" ref="N115" si="52">I115</f>
        <v>38416.833530612799</v>
      </c>
      <c r="O115" s="476">
        <f t="shared" ref="O115" si="53">IF(N115&lt;&gt;0,+I115-N115,0)</f>
        <v>0</v>
      </c>
      <c r="P115" s="476">
        <f t="shared" ref="P115" si="54">+O115-M115</f>
        <v>0</v>
      </c>
    </row>
    <row r="116" spans="2:16" ht="12.5">
      <c r="B116" s="160" t="str">
        <f t="shared" si="32"/>
        <v/>
      </c>
      <c r="C116" s="470">
        <f>IF(D93="","-",+C115+1)</f>
        <v>2023</v>
      </c>
      <c r="D116" s="345">
        <f>IF(F115+SUM(E$99:E115)=D$92,F115,D$92-SUM(E$99:E115))</f>
        <v>253462</v>
      </c>
      <c r="E116" s="484">
        <f>IF(+J96&lt;F115,J96,D116)</f>
        <v>10204</v>
      </c>
      <c r="F116" s="483">
        <f t="shared" ref="F116:F130" si="55">+D116-E116</f>
        <v>243258</v>
      </c>
      <c r="G116" s="483">
        <f t="shared" ref="G116:G130" si="56">+(F116+D116)/2</f>
        <v>248360</v>
      </c>
      <c r="H116" s="484">
        <f t="shared" ref="H116:H153" si="57">(D116+F116)/2*J$94+E116</f>
        <v>38573.430896853468</v>
      </c>
      <c r="I116" s="540">
        <f t="shared" ref="I116:I153" si="58">+J$95*G116+E116</f>
        <v>38573.430896853468</v>
      </c>
      <c r="J116" s="476">
        <f t="shared" si="30"/>
        <v>0</v>
      </c>
      <c r="K116" s="476"/>
      <c r="L116" s="485"/>
      <c r="M116" s="476">
        <f t="shared" si="34"/>
        <v>0</v>
      </c>
      <c r="N116" s="485"/>
      <c r="O116" s="476">
        <f t="shared" si="36"/>
        <v>0</v>
      </c>
      <c r="P116" s="476">
        <f t="shared" si="31"/>
        <v>0</v>
      </c>
    </row>
    <row r="117" spans="2:16" ht="12.5">
      <c r="B117" s="160" t="str">
        <f t="shared" si="32"/>
        <v/>
      </c>
      <c r="C117" s="470">
        <f>IF(D93="","-",+C116+1)</f>
        <v>2024</v>
      </c>
      <c r="D117" s="345">
        <f>IF(F116+SUM(E$99:E116)=D$92,F116,D$92-SUM(E$99:E116))</f>
        <v>243258</v>
      </c>
      <c r="E117" s="484">
        <f>IF(+J96&lt;F116,J96,D117)</f>
        <v>10204</v>
      </c>
      <c r="F117" s="483">
        <f t="shared" si="55"/>
        <v>233054</v>
      </c>
      <c r="G117" s="483">
        <f t="shared" si="56"/>
        <v>238156</v>
      </c>
      <c r="H117" s="484">
        <f t="shared" si="57"/>
        <v>37407.858047475573</v>
      </c>
      <c r="I117" s="540">
        <f t="shared" si="58"/>
        <v>37407.858047475573</v>
      </c>
      <c r="J117" s="476">
        <f t="shared" si="30"/>
        <v>0</v>
      </c>
      <c r="K117" s="476"/>
      <c r="L117" s="485"/>
      <c r="M117" s="476">
        <f t="shared" si="34"/>
        <v>0</v>
      </c>
      <c r="N117" s="485"/>
      <c r="O117" s="476">
        <f t="shared" si="36"/>
        <v>0</v>
      </c>
      <c r="P117" s="476">
        <f t="shared" si="31"/>
        <v>0</v>
      </c>
    </row>
    <row r="118" spans="2:16" ht="12.5">
      <c r="B118" s="160" t="str">
        <f t="shared" si="32"/>
        <v/>
      </c>
      <c r="C118" s="470">
        <f>IF(D93="","-",+C117+1)</f>
        <v>2025</v>
      </c>
      <c r="D118" s="345">
        <f>IF(F117+SUM(E$99:E117)=D$92,F117,D$92-SUM(E$99:E117))</f>
        <v>233054</v>
      </c>
      <c r="E118" s="484">
        <f>IF(+J96&lt;F117,J96,D118)</f>
        <v>10204</v>
      </c>
      <c r="F118" s="483">
        <f t="shared" si="55"/>
        <v>222850</v>
      </c>
      <c r="G118" s="483">
        <f t="shared" si="56"/>
        <v>227952</v>
      </c>
      <c r="H118" s="484">
        <f t="shared" si="57"/>
        <v>36242.285198097685</v>
      </c>
      <c r="I118" s="540">
        <f t="shared" si="58"/>
        <v>36242.285198097685</v>
      </c>
      <c r="J118" s="476">
        <f t="shared" si="30"/>
        <v>0</v>
      </c>
      <c r="K118" s="476"/>
      <c r="L118" s="485"/>
      <c r="M118" s="476">
        <f t="shared" si="34"/>
        <v>0</v>
      </c>
      <c r="N118" s="485"/>
      <c r="O118" s="476">
        <f t="shared" si="36"/>
        <v>0</v>
      </c>
      <c r="P118" s="476">
        <f t="shared" si="31"/>
        <v>0</v>
      </c>
    </row>
    <row r="119" spans="2:16" ht="12.5">
      <c r="B119" s="160" t="str">
        <f t="shared" si="32"/>
        <v/>
      </c>
      <c r="C119" s="470">
        <f>IF(D93="","-",+C118+1)</f>
        <v>2026</v>
      </c>
      <c r="D119" s="345">
        <f>IF(F118+SUM(E$99:E118)=D$92,F118,D$92-SUM(E$99:E118))</f>
        <v>222850</v>
      </c>
      <c r="E119" s="484">
        <f>IF(+J96&lt;F118,J96,D119)</f>
        <v>10204</v>
      </c>
      <c r="F119" s="483">
        <f t="shared" si="55"/>
        <v>212646</v>
      </c>
      <c r="G119" s="483">
        <f t="shared" si="56"/>
        <v>217748</v>
      </c>
      <c r="H119" s="484">
        <f t="shared" si="57"/>
        <v>35076.712348719797</v>
      </c>
      <c r="I119" s="540">
        <f t="shared" si="58"/>
        <v>35076.712348719797</v>
      </c>
      <c r="J119" s="476">
        <f t="shared" si="30"/>
        <v>0</v>
      </c>
      <c r="K119" s="476"/>
      <c r="L119" s="485"/>
      <c r="M119" s="476">
        <f t="shared" si="34"/>
        <v>0</v>
      </c>
      <c r="N119" s="485"/>
      <c r="O119" s="476">
        <f t="shared" si="36"/>
        <v>0</v>
      </c>
      <c r="P119" s="476">
        <f t="shared" si="31"/>
        <v>0</v>
      </c>
    </row>
    <row r="120" spans="2:16" ht="12.5">
      <c r="B120" s="160" t="str">
        <f t="shared" si="32"/>
        <v/>
      </c>
      <c r="C120" s="470">
        <f>IF(D93="","-",+C119+1)</f>
        <v>2027</v>
      </c>
      <c r="D120" s="345">
        <f>IF(F119+SUM(E$99:E119)=D$92,F119,D$92-SUM(E$99:E119))</f>
        <v>212646</v>
      </c>
      <c r="E120" s="484">
        <f>IF(+J96&lt;F119,J96,D120)</f>
        <v>10204</v>
      </c>
      <c r="F120" s="483">
        <f t="shared" si="55"/>
        <v>202442</v>
      </c>
      <c r="G120" s="483">
        <f t="shared" si="56"/>
        <v>207544</v>
      </c>
      <c r="H120" s="484">
        <f t="shared" si="57"/>
        <v>33911.139499341909</v>
      </c>
      <c r="I120" s="540">
        <f t="shared" si="58"/>
        <v>33911.139499341909</v>
      </c>
      <c r="J120" s="476">
        <f t="shared" si="30"/>
        <v>0</v>
      </c>
      <c r="K120" s="476"/>
      <c r="L120" s="485"/>
      <c r="M120" s="476">
        <f t="shared" si="34"/>
        <v>0</v>
      </c>
      <c r="N120" s="485"/>
      <c r="O120" s="476">
        <f t="shared" si="36"/>
        <v>0</v>
      </c>
      <c r="P120" s="476">
        <f t="shared" si="31"/>
        <v>0</v>
      </c>
    </row>
    <row r="121" spans="2:16" ht="12.5">
      <c r="B121" s="160" t="str">
        <f t="shared" si="32"/>
        <v/>
      </c>
      <c r="C121" s="470">
        <f>IF(D93="","-",+C120+1)</f>
        <v>2028</v>
      </c>
      <c r="D121" s="345">
        <f>IF(F120+SUM(E$99:E120)=D$92,F120,D$92-SUM(E$99:E120))</f>
        <v>202442</v>
      </c>
      <c r="E121" s="484">
        <f>IF(+J96&lt;F120,J96,D121)</f>
        <v>10204</v>
      </c>
      <c r="F121" s="483">
        <f t="shared" si="55"/>
        <v>192238</v>
      </c>
      <c r="G121" s="483">
        <f t="shared" si="56"/>
        <v>197340</v>
      </c>
      <c r="H121" s="484">
        <f t="shared" si="57"/>
        <v>32745.566649964017</v>
      </c>
      <c r="I121" s="540">
        <f t="shared" si="58"/>
        <v>32745.566649964017</v>
      </c>
      <c r="J121" s="476">
        <f t="shared" si="30"/>
        <v>0</v>
      </c>
      <c r="K121" s="476"/>
      <c r="L121" s="485"/>
      <c r="M121" s="476">
        <f t="shared" si="34"/>
        <v>0</v>
      </c>
      <c r="N121" s="485"/>
      <c r="O121" s="476">
        <f t="shared" si="36"/>
        <v>0</v>
      </c>
      <c r="P121" s="476">
        <f t="shared" si="31"/>
        <v>0</v>
      </c>
    </row>
    <row r="122" spans="2:16" ht="12.5">
      <c r="B122" s="160" t="str">
        <f t="shared" si="32"/>
        <v/>
      </c>
      <c r="C122" s="470">
        <f>IF(D93="","-",+C121+1)</f>
        <v>2029</v>
      </c>
      <c r="D122" s="345">
        <f>IF(F121+SUM(E$99:E121)=D$92,F121,D$92-SUM(E$99:E121))</f>
        <v>192238</v>
      </c>
      <c r="E122" s="484">
        <f>IF(+J96&lt;F121,J96,D122)</f>
        <v>10204</v>
      </c>
      <c r="F122" s="483">
        <f t="shared" si="55"/>
        <v>182034</v>
      </c>
      <c r="G122" s="483">
        <f t="shared" si="56"/>
        <v>187136</v>
      </c>
      <c r="H122" s="484">
        <f t="shared" si="57"/>
        <v>31579.993800586126</v>
      </c>
      <c r="I122" s="540">
        <f t="shared" si="58"/>
        <v>31579.993800586126</v>
      </c>
      <c r="J122" s="476">
        <f t="shared" si="30"/>
        <v>0</v>
      </c>
      <c r="K122" s="476"/>
      <c r="L122" s="485"/>
      <c r="M122" s="476">
        <f t="shared" si="34"/>
        <v>0</v>
      </c>
      <c r="N122" s="485"/>
      <c r="O122" s="476">
        <f t="shared" si="36"/>
        <v>0</v>
      </c>
      <c r="P122" s="476">
        <f t="shared" si="31"/>
        <v>0</v>
      </c>
    </row>
    <row r="123" spans="2:16" ht="12.5">
      <c r="B123" s="160" t="str">
        <f t="shared" si="32"/>
        <v/>
      </c>
      <c r="C123" s="470">
        <f>IF(D93="","-",+C122+1)</f>
        <v>2030</v>
      </c>
      <c r="D123" s="345">
        <f>IF(F122+SUM(E$99:E122)=D$92,F122,D$92-SUM(E$99:E122))</f>
        <v>182034</v>
      </c>
      <c r="E123" s="484">
        <f>IF(+J96&lt;F122,J96,D123)</f>
        <v>10204</v>
      </c>
      <c r="F123" s="483">
        <f t="shared" si="55"/>
        <v>171830</v>
      </c>
      <c r="G123" s="483">
        <f t="shared" si="56"/>
        <v>176932</v>
      </c>
      <c r="H123" s="484">
        <f t="shared" si="57"/>
        <v>30414.420951208238</v>
      </c>
      <c r="I123" s="540">
        <f t="shared" si="58"/>
        <v>30414.420951208238</v>
      </c>
      <c r="J123" s="476">
        <f t="shared" si="30"/>
        <v>0</v>
      </c>
      <c r="K123" s="476"/>
      <c r="L123" s="485"/>
      <c r="M123" s="476">
        <f t="shared" si="34"/>
        <v>0</v>
      </c>
      <c r="N123" s="485"/>
      <c r="O123" s="476">
        <f t="shared" si="36"/>
        <v>0</v>
      </c>
      <c r="P123" s="476">
        <f t="shared" si="31"/>
        <v>0</v>
      </c>
    </row>
    <row r="124" spans="2:16" ht="12.5">
      <c r="B124" s="160" t="str">
        <f t="shared" si="32"/>
        <v/>
      </c>
      <c r="C124" s="470">
        <f>IF(D93="","-",+C123+1)</f>
        <v>2031</v>
      </c>
      <c r="D124" s="345">
        <f>IF(F123+SUM(E$99:E123)=D$92,F123,D$92-SUM(E$99:E123))</f>
        <v>171830</v>
      </c>
      <c r="E124" s="484">
        <f>IF(+J96&lt;F123,J96,D124)</f>
        <v>10204</v>
      </c>
      <c r="F124" s="483">
        <f t="shared" si="55"/>
        <v>161626</v>
      </c>
      <c r="G124" s="483">
        <f t="shared" si="56"/>
        <v>166728</v>
      </c>
      <c r="H124" s="484">
        <f t="shared" si="57"/>
        <v>29248.848101830346</v>
      </c>
      <c r="I124" s="540">
        <f t="shared" si="58"/>
        <v>29248.848101830346</v>
      </c>
      <c r="J124" s="476">
        <f t="shared" si="30"/>
        <v>0</v>
      </c>
      <c r="K124" s="476"/>
      <c r="L124" s="485"/>
      <c r="M124" s="476">
        <f t="shared" si="34"/>
        <v>0</v>
      </c>
      <c r="N124" s="485"/>
      <c r="O124" s="476">
        <f t="shared" si="36"/>
        <v>0</v>
      </c>
      <c r="P124" s="476">
        <f t="shared" si="31"/>
        <v>0</v>
      </c>
    </row>
    <row r="125" spans="2:16" ht="12.5">
      <c r="B125" s="160" t="str">
        <f t="shared" si="32"/>
        <v/>
      </c>
      <c r="C125" s="470">
        <f>IF(D93="","-",+C124+1)</f>
        <v>2032</v>
      </c>
      <c r="D125" s="345">
        <f>IF(F124+SUM(E$99:E124)=D$92,F124,D$92-SUM(E$99:E124))</f>
        <v>161626</v>
      </c>
      <c r="E125" s="484">
        <f>IF(+J96&lt;F124,J96,D125)</f>
        <v>10204</v>
      </c>
      <c r="F125" s="483">
        <f t="shared" si="55"/>
        <v>151422</v>
      </c>
      <c r="G125" s="483">
        <f t="shared" si="56"/>
        <v>156524</v>
      </c>
      <c r="H125" s="484">
        <f t="shared" si="57"/>
        <v>28083.275252452459</v>
      </c>
      <c r="I125" s="540">
        <f t="shared" si="58"/>
        <v>28083.275252452459</v>
      </c>
      <c r="J125" s="476">
        <f t="shared" si="30"/>
        <v>0</v>
      </c>
      <c r="K125" s="476"/>
      <c r="L125" s="485"/>
      <c r="M125" s="476">
        <f t="shared" si="34"/>
        <v>0</v>
      </c>
      <c r="N125" s="485"/>
      <c r="O125" s="476">
        <f t="shared" si="36"/>
        <v>0</v>
      </c>
      <c r="P125" s="476">
        <f t="shared" si="31"/>
        <v>0</v>
      </c>
    </row>
    <row r="126" spans="2:16" ht="12.5">
      <c r="B126" s="160" t="str">
        <f t="shared" si="32"/>
        <v/>
      </c>
      <c r="C126" s="470">
        <f>IF(D93="","-",+C125+1)</f>
        <v>2033</v>
      </c>
      <c r="D126" s="345">
        <f>IF(F125+SUM(E$99:E125)=D$92,F125,D$92-SUM(E$99:E125))</f>
        <v>151422</v>
      </c>
      <c r="E126" s="484">
        <f>IF(+J96&lt;F125,J96,D126)</f>
        <v>10204</v>
      </c>
      <c r="F126" s="483">
        <f t="shared" si="55"/>
        <v>141218</v>
      </c>
      <c r="G126" s="483">
        <f t="shared" si="56"/>
        <v>146320</v>
      </c>
      <c r="H126" s="484">
        <f t="shared" si="57"/>
        <v>26917.702403074567</v>
      </c>
      <c r="I126" s="540">
        <f t="shared" si="58"/>
        <v>26917.702403074567</v>
      </c>
      <c r="J126" s="476">
        <f t="shared" si="30"/>
        <v>0</v>
      </c>
      <c r="K126" s="476"/>
      <c r="L126" s="485"/>
      <c r="M126" s="476">
        <f t="shared" si="34"/>
        <v>0</v>
      </c>
      <c r="N126" s="485"/>
      <c r="O126" s="476">
        <f t="shared" si="36"/>
        <v>0</v>
      </c>
      <c r="P126" s="476">
        <f t="shared" si="31"/>
        <v>0</v>
      </c>
    </row>
    <row r="127" spans="2:16" ht="12.5">
      <c r="B127" s="160" t="str">
        <f t="shared" si="32"/>
        <v/>
      </c>
      <c r="C127" s="470">
        <f>IF(D93="","-",+C126+1)</f>
        <v>2034</v>
      </c>
      <c r="D127" s="345">
        <f>IF(F126+SUM(E$99:E126)=D$92,F126,D$92-SUM(E$99:E126))</f>
        <v>141218</v>
      </c>
      <c r="E127" s="484">
        <f>IF(+J96&lt;F126,J96,D127)</f>
        <v>10204</v>
      </c>
      <c r="F127" s="483">
        <f t="shared" si="55"/>
        <v>131014</v>
      </c>
      <c r="G127" s="483">
        <f t="shared" si="56"/>
        <v>136116</v>
      </c>
      <c r="H127" s="484">
        <f t="shared" si="57"/>
        <v>25752.129553696679</v>
      </c>
      <c r="I127" s="540">
        <f t="shared" si="58"/>
        <v>25752.129553696679</v>
      </c>
      <c r="J127" s="476">
        <f t="shared" si="30"/>
        <v>0</v>
      </c>
      <c r="K127" s="476"/>
      <c r="L127" s="485"/>
      <c r="M127" s="476">
        <f t="shared" si="34"/>
        <v>0</v>
      </c>
      <c r="N127" s="485"/>
      <c r="O127" s="476">
        <f t="shared" si="36"/>
        <v>0</v>
      </c>
      <c r="P127" s="476">
        <f t="shared" si="31"/>
        <v>0</v>
      </c>
    </row>
    <row r="128" spans="2:16" ht="12.5">
      <c r="B128" s="160" t="str">
        <f t="shared" si="32"/>
        <v/>
      </c>
      <c r="C128" s="470">
        <f>IF(D93="","-",+C127+1)</f>
        <v>2035</v>
      </c>
      <c r="D128" s="345">
        <f>IF(F127+SUM(E$99:E127)=D$92,F127,D$92-SUM(E$99:E127))</f>
        <v>131014</v>
      </c>
      <c r="E128" s="484">
        <f>IF(+J96&lt;F127,J96,D128)</f>
        <v>10204</v>
      </c>
      <c r="F128" s="483">
        <f t="shared" si="55"/>
        <v>120810</v>
      </c>
      <c r="G128" s="483">
        <f t="shared" si="56"/>
        <v>125912</v>
      </c>
      <c r="H128" s="484">
        <f t="shared" si="57"/>
        <v>24586.556704318788</v>
      </c>
      <c r="I128" s="540">
        <f t="shared" si="58"/>
        <v>24586.556704318788</v>
      </c>
      <c r="J128" s="476">
        <f t="shared" si="30"/>
        <v>0</v>
      </c>
      <c r="K128" s="476"/>
      <c r="L128" s="485"/>
      <c r="M128" s="476">
        <f t="shared" si="34"/>
        <v>0</v>
      </c>
      <c r="N128" s="485"/>
      <c r="O128" s="476">
        <f t="shared" si="36"/>
        <v>0</v>
      </c>
      <c r="P128" s="476">
        <f t="shared" si="31"/>
        <v>0</v>
      </c>
    </row>
    <row r="129" spans="2:16" ht="12.5">
      <c r="B129" s="160" t="str">
        <f t="shared" si="32"/>
        <v/>
      </c>
      <c r="C129" s="470">
        <f>IF(D93="","-",+C128+1)</f>
        <v>2036</v>
      </c>
      <c r="D129" s="345">
        <f>IF(F128+SUM(E$99:E128)=D$92,F128,D$92-SUM(E$99:E128))</f>
        <v>120810</v>
      </c>
      <c r="E129" s="484">
        <f>IF(+J96&lt;F128,J96,D129)</f>
        <v>10204</v>
      </c>
      <c r="F129" s="483">
        <f t="shared" si="55"/>
        <v>110606</v>
      </c>
      <c r="G129" s="483">
        <f t="shared" si="56"/>
        <v>115708</v>
      </c>
      <c r="H129" s="484">
        <f t="shared" si="57"/>
        <v>23420.983854940896</v>
      </c>
      <c r="I129" s="540">
        <f t="shared" si="58"/>
        <v>23420.983854940896</v>
      </c>
      <c r="J129" s="476">
        <f t="shared" si="30"/>
        <v>0</v>
      </c>
      <c r="K129" s="476"/>
      <c r="L129" s="485"/>
      <c r="M129" s="476">
        <f t="shared" si="34"/>
        <v>0</v>
      </c>
      <c r="N129" s="485"/>
      <c r="O129" s="476">
        <f t="shared" si="36"/>
        <v>0</v>
      </c>
      <c r="P129" s="476">
        <f t="shared" si="31"/>
        <v>0</v>
      </c>
    </row>
    <row r="130" spans="2:16" ht="12.5">
      <c r="B130" s="160" t="str">
        <f t="shared" si="32"/>
        <v/>
      </c>
      <c r="C130" s="470">
        <f>IF(D93="","-",+C129+1)</f>
        <v>2037</v>
      </c>
      <c r="D130" s="345">
        <f>IF(F129+SUM(E$99:E129)=D$92,F129,D$92-SUM(E$99:E129))</f>
        <v>110606</v>
      </c>
      <c r="E130" s="484">
        <f>IF(+J96&lt;F129,J96,D130)</f>
        <v>10204</v>
      </c>
      <c r="F130" s="483">
        <f t="shared" si="55"/>
        <v>100402</v>
      </c>
      <c r="G130" s="483">
        <f t="shared" si="56"/>
        <v>105504</v>
      </c>
      <c r="H130" s="484">
        <f t="shared" si="57"/>
        <v>22255.411005563008</v>
      </c>
      <c r="I130" s="540">
        <f t="shared" si="58"/>
        <v>22255.411005563008</v>
      </c>
      <c r="J130" s="476">
        <f t="shared" si="30"/>
        <v>0</v>
      </c>
      <c r="K130" s="476"/>
      <c r="L130" s="485"/>
      <c r="M130" s="476">
        <f t="shared" si="34"/>
        <v>0</v>
      </c>
      <c r="N130" s="485"/>
      <c r="O130" s="476">
        <f t="shared" si="36"/>
        <v>0</v>
      </c>
      <c r="P130" s="476">
        <f t="shared" si="31"/>
        <v>0</v>
      </c>
    </row>
    <row r="131" spans="2:16" ht="12.5">
      <c r="B131" s="160" t="str">
        <f t="shared" si="32"/>
        <v/>
      </c>
      <c r="C131" s="470">
        <f>IF(D93="","-",+C130+1)</f>
        <v>2038</v>
      </c>
      <c r="D131" s="345">
        <f>IF(F130+SUM(E$99:E130)=D$92,F130,D$92-SUM(E$99:E130))</f>
        <v>100402</v>
      </c>
      <c r="E131" s="484">
        <f>IF(+J96&lt;F130,J96,D131)</f>
        <v>10204</v>
      </c>
      <c r="F131" s="483">
        <f t="shared" ref="F131:F154" si="59">+D131-E131</f>
        <v>90198</v>
      </c>
      <c r="G131" s="483">
        <f t="shared" ref="G131:G154" si="60">+(F131+D131)/2</f>
        <v>95300</v>
      </c>
      <c r="H131" s="484">
        <f t="shared" si="57"/>
        <v>21089.838156185117</v>
      </c>
      <c r="I131" s="540">
        <f t="shared" si="58"/>
        <v>21089.838156185117</v>
      </c>
      <c r="J131" s="476">
        <f t="shared" ref="J131:J154" si="61">+I131-H131</f>
        <v>0</v>
      </c>
      <c r="K131" s="476"/>
      <c r="L131" s="485"/>
      <c r="M131" s="476">
        <f t="shared" si="34"/>
        <v>0</v>
      </c>
      <c r="N131" s="485"/>
      <c r="O131" s="476">
        <f t="shared" si="36"/>
        <v>0</v>
      </c>
      <c r="P131" s="476">
        <f t="shared" ref="P131:P154" si="62">+O131-M131</f>
        <v>0</v>
      </c>
    </row>
    <row r="132" spans="2:16" ht="12.5">
      <c r="B132" s="160" t="str">
        <f t="shared" si="32"/>
        <v/>
      </c>
      <c r="C132" s="470">
        <f>IF(D93="","-",+C131+1)</f>
        <v>2039</v>
      </c>
      <c r="D132" s="345">
        <f>IF(F131+SUM(E$99:E131)=D$92,F131,D$92-SUM(E$99:E131))</f>
        <v>90198</v>
      </c>
      <c r="E132" s="484">
        <f>IF(+J96&lt;F131,J96,D132)</f>
        <v>10204</v>
      </c>
      <c r="F132" s="483">
        <f t="shared" si="59"/>
        <v>79994</v>
      </c>
      <c r="G132" s="483">
        <f t="shared" si="60"/>
        <v>85096</v>
      </c>
      <c r="H132" s="484">
        <f t="shared" si="57"/>
        <v>19924.265306807225</v>
      </c>
      <c r="I132" s="540">
        <f t="shared" si="58"/>
        <v>19924.265306807225</v>
      </c>
      <c r="J132" s="476">
        <f t="shared" si="61"/>
        <v>0</v>
      </c>
      <c r="K132" s="476"/>
      <c r="L132" s="485"/>
      <c r="M132" s="476">
        <f t="shared" si="34"/>
        <v>0</v>
      </c>
      <c r="N132" s="485"/>
      <c r="O132" s="476">
        <f t="shared" si="36"/>
        <v>0</v>
      </c>
      <c r="P132" s="476">
        <f t="shared" si="62"/>
        <v>0</v>
      </c>
    </row>
    <row r="133" spans="2:16" ht="12.5">
      <c r="B133" s="160" t="str">
        <f t="shared" si="32"/>
        <v/>
      </c>
      <c r="C133" s="470">
        <f>IF(D93="","-",+C132+1)</f>
        <v>2040</v>
      </c>
      <c r="D133" s="345">
        <f>IF(F132+SUM(E$99:E132)=D$92,F132,D$92-SUM(E$99:E132))</f>
        <v>79994</v>
      </c>
      <c r="E133" s="484">
        <f>IF(+J96&lt;F132,J96,D133)</f>
        <v>10204</v>
      </c>
      <c r="F133" s="483">
        <f t="shared" si="59"/>
        <v>69790</v>
      </c>
      <c r="G133" s="483">
        <f t="shared" si="60"/>
        <v>74892</v>
      </c>
      <c r="H133" s="484">
        <f t="shared" si="57"/>
        <v>18758.692457429337</v>
      </c>
      <c r="I133" s="540">
        <f t="shared" si="58"/>
        <v>18758.692457429337</v>
      </c>
      <c r="J133" s="476">
        <f t="shared" si="61"/>
        <v>0</v>
      </c>
      <c r="K133" s="476"/>
      <c r="L133" s="485"/>
      <c r="M133" s="476">
        <f t="shared" si="34"/>
        <v>0</v>
      </c>
      <c r="N133" s="485"/>
      <c r="O133" s="476">
        <f t="shared" si="36"/>
        <v>0</v>
      </c>
      <c r="P133" s="476">
        <f t="shared" si="62"/>
        <v>0</v>
      </c>
    </row>
    <row r="134" spans="2:16" ht="12.5">
      <c r="B134" s="160" t="str">
        <f t="shared" si="32"/>
        <v/>
      </c>
      <c r="C134" s="470">
        <f>IF(D93="","-",+C133+1)</f>
        <v>2041</v>
      </c>
      <c r="D134" s="345">
        <f>IF(F133+SUM(E$99:E133)=D$92,F133,D$92-SUM(E$99:E133))</f>
        <v>69790</v>
      </c>
      <c r="E134" s="484">
        <f>IF(+J96&lt;F133,J96,D134)</f>
        <v>10204</v>
      </c>
      <c r="F134" s="483">
        <f t="shared" si="59"/>
        <v>59586</v>
      </c>
      <c r="G134" s="483">
        <f t="shared" si="60"/>
        <v>64688</v>
      </c>
      <c r="H134" s="484">
        <f t="shared" si="57"/>
        <v>17593.119608051446</v>
      </c>
      <c r="I134" s="540">
        <f t="shared" si="58"/>
        <v>17593.119608051446</v>
      </c>
      <c r="J134" s="476">
        <f t="shared" si="61"/>
        <v>0</v>
      </c>
      <c r="K134" s="476"/>
      <c r="L134" s="485"/>
      <c r="M134" s="476">
        <f t="shared" ref="M134:M154" si="63">IF(L134&lt;&gt;0,+H134-L134,0)</f>
        <v>0</v>
      </c>
      <c r="N134" s="485"/>
      <c r="O134" s="476">
        <f t="shared" ref="O134:O154" si="64">IF(N134&lt;&gt;0,+I134-N134,0)</f>
        <v>0</v>
      </c>
      <c r="P134" s="476">
        <f t="shared" si="62"/>
        <v>0</v>
      </c>
    </row>
    <row r="135" spans="2:16" ht="12.5">
      <c r="B135" s="160" t="str">
        <f t="shared" si="32"/>
        <v/>
      </c>
      <c r="C135" s="470">
        <f>IF(D93="","-",+C134+1)</f>
        <v>2042</v>
      </c>
      <c r="D135" s="345">
        <f>IF(F134+SUM(E$99:E134)=D$92,F134,D$92-SUM(E$99:E134))</f>
        <v>59586</v>
      </c>
      <c r="E135" s="484">
        <f>IF(+J96&lt;F134,J96,D135)</f>
        <v>10204</v>
      </c>
      <c r="F135" s="483">
        <f t="shared" si="59"/>
        <v>49382</v>
      </c>
      <c r="G135" s="483">
        <f t="shared" si="60"/>
        <v>54484</v>
      </c>
      <c r="H135" s="484">
        <f t="shared" si="57"/>
        <v>16427.546758673554</v>
      </c>
      <c r="I135" s="540">
        <f t="shared" si="58"/>
        <v>16427.546758673554</v>
      </c>
      <c r="J135" s="476">
        <f t="shared" si="61"/>
        <v>0</v>
      </c>
      <c r="K135" s="476"/>
      <c r="L135" s="485"/>
      <c r="M135" s="476">
        <f t="shared" si="63"/>
        <v>0</v>
      </c>
      <c r="N135" s="485"/>
      <c r="O135" s="476">
        <f t="shared" si="64"/>
        <v>0</v>
      </c>
      <c r="P135" s="476">
        <f t="shared" si="62"/>
        <v>0</v>
      </c>
    </row>
    <row r="136" spans="2:16" ht="12.5">
      <c r="B136" s="160" t="str">
        <f t="shared" si="32"/>
        <v/>
      </c>
      <c r="C136" s="470">
        <f>IF(D93="","-",+C135+1)</f>
        <v>2043</v>
      </c>
      <c r="D136" s="345">
        <f>IF(F135+SUM(E$99:E135)=D$92,F135,D$92-SUM(E$99:E135))</f>
        <v>49382</v>
      </c>
      <c r="E136" s="484">
        <f>IF(+J96&lt;F135,J96,D136)</f>
        <v>10204</v>
      </c>
      <c r="F136" s="483">
        <f t="shared" si="59"/>
        <v>39178</v>
      </c>
      <c r="G136" s="483">
        <f t="shared" si="60"/>
        <v>44280</v>
      </c>
      <c r="H136" s="484">
        <f t="shared" si="57"/>
        <v>15261.973909295666</v>
      </c>
      <c r="I136" s="540">
        <f t="shared" si="58"/>
        <v>15261.973909295666</v>
      </c>
      <c r="J136" s="476">
        <f t="shared" si="61"/>
        <v>0</v>
      </c>
      <c r="K136" s="476"/>
      <c r="L136" s="485"/>
      <c r="M136" s="476">
        <f t="shared" si="63"/>
        <v>0</v>
      </c>
      <c r="N136" s="485"/>
      <c r="O136" s="476">
        <f t="shared" si="64"/>
        <v>0</v>
      </c>
      <c r="P136" s="476">
        <f t="shared" si="62"/>
        <v>0</v>
      </c>
    </row>
    <row r="137" spans="2:16" ht="12.5">
      <c r="B137" s="160" t="str">
        <f t="shared" si="32"/>
        <v/>
      </c>
      <c r="C137" s="470">
        <f>IF(D93="","-",+C136+1)</f>
        <v>2044</v>
      </c>
      <c r="D137" s="345">
        <f>IF(F136+SUM(E$99:E136)=D$92,F136,D$92-SUM(E$99:E136))</f>
        <v>39178</v>
      </c>
      <c r="E137" s="484">
        <f>IF(+J96&lt;F136,J96,D137)</f>
        <v>10204</v>
      </c>
      <c r="F137" s="483">
        <f t="shared" si="59"/>
        <v>28974</v>
      </c>
      <c r="G137" s="483">
        <f t="shared" si="60"/>
        <v>34076</v>
      </c>
      <c r="H137" s="484">
        <f t="shared" si="57"/>
        <v>14096.401059917776</v>
      </c>
      <c r="I137" s="540">
        <f t="shared" si="58"/>
        <v>14096.401059917776</v>
      </c>
      <c r="J137" s="476">
        <f t="shared" si="61"/>
        <v>0</v>
      </c>
      <c r="K137" s="476"/>
      <c r="L137" s="485"/>
      <c r="M137" s="476">
        <f t="shared" si="63"/>
        <v>0</v>
      </c>
      <c r="N137" s="485"/>
      <c r="O137" s="476">
        <f t="shared" si="64"/>
        <v>0</v>
      </c>
      <c r="P137" s="476">
        <f t="shared" si="62"/>
        <v>0</v>
      </c>
    </row>
    <row r="138" spans="2:16" ht="12.5">
      <c r="B138" s="160" t="str">
        <f t="shared" si="32"/>
        <v/>
      </c>
      <c r="C138" s="470">
        <f>IF(D93="","-",+C137+1)</f>
        <v>2045</v>
      </c>
      <c r="D138" s="345">
        <f>IF(F137+SUM(E$99:E137)=D$92,F137,D$92-SUM(E$99:E137))</f>
        <v>28974</v>
      </c>
      <c r="E138" s="484">
        <f>IF(+J96&lt;F137,J96,D138)</f>
        <v>10204</v>
      </c>
      <c r="F138" s="483">
        <f t="shared" si="59"/>
        <v>18770</v>
      </c>
      <c r="G138" s="483">
        <f t="shared" si="60"/>
        <v>23872</v>
      </c>
      <c r="H138" s="484">
        <f t="shared" si="57"/>
        <v>12930.828210539887</v>
      </c>
      <c r="I138" s="540">
        <f t="shared" si="58"/>
        <v>12930.828210539887</v>
      </c>
      <c r="J138" s="476">
        <f t="shared" si="61"/>
        <v>0</v>
      </c>
      <c r="K138" s="476"/>
      <c r="L138" s="485"/>
      <c r="M138" s="476">
        <f t="shared" si="63"/>
        <v>0</v>
      </c>
      <c r="N138" s="485"/>
      <c r="O138" s="476">
        <f t="shared" si="64"/>
        <v>0</v>
      </c>
      <c r="P138" s="476">
        <f t="shared" si="62"/>
        <v>0</v>
      </c>
    </row>
    <row r="139" spans="2:16" ht="12.5">
      <c r="B139" s="160" t="str">
        <f t="shared" si="32"/>
        <v/>
      </c>
      <c r="C139" s="470">
        <f>IF(D93="","-",+C138+1)</f>
        <v>2046</v>
      </c>
      <c r="D139" s="345">
        <f>IF(F138+SUM(E$99:E138)=D$92,F138,D$92-SUM(E$99:E138))</f>
        <v>18770</v>
      </c>
      <c r="E139" s="484">
        <f>IF(+J96&lt;F138,J96,D139)</f>
        <v>10204</v>
      </c>
      <c r="F139" s="483">
        <f t="shared" si="59"/>
        <v>8566</v>
      </c>
      <c r="G139" s="483">
        <f t="shared" si="60"/>
        <v>13668</v>
      </c>
      <c r="H139" s="484">
        <f t="shared" si="57"/>
        <v>11765.255361161995</v>
      </c>
      <c r="I139" s="540">
        <f t="shared" si="58"/>
        <v>11765.255361161995</v>
      </c>
      <c r="J139" s="476">
        <f t="shared" si="61"/>
        <v>0</v>
      </c>
      <c r="K139" s="476"/>
      <c r="L139" s="485"/>
      <c r="M139" s="476">
        <f t="shared" si="63"/>
        <v>0</v>
      </c>
      <c r="N139" s="485"/>
      <c r="O139" s="476">
        <f t="shared" si="64"/>
        <v>0</v>
      </c>
      <c r="P139" s="476">
        <f t="shared" si="62"/>
        <v>0</v>
      </c>
    </row>
    <row r="140" spans="2:16" ht="12.5">
      <c r="B140" s="160" t="str">
        <f t="shared" si="32"/>
        <v/>
      </c>
      <c r="C140" s="470">
        <f>IF(D93="","-",+C139+1)</f>
        <v>2047</v>
      </c>
      <c r="D140" s="345">
        <f>IF(F139+SUM(E$99:E139)=D$92,F139,D$92-SUM(E$99:E139))</f>
        <v>8566</v>
      </c>
      <c r="E140" s="484">
        <f>IF(+J96&lt;F139,J96,D140)</f>
        <v>8566</v>
      </c>
      <c r="F140" s="483">
        <f t="shared" si="59"/>
        <v>0</v>
      </c>
      <c r="G140" s="483">
        <f t="shared" si="60"/>
        <v>4283</v>
      </c>
      <c r="H140" s="484">
        <f t="shared" si="57"/>
        <v>9055.2344682365256</v>
      </c>
      <c r="I140" s="540">
        <f t="shared" si="58"/>
        <v>9055.2344682365256</v>
      </c>
      <c r="J140" s="476">
        <f t="shared" si="61"/>
        <v>0</v>
      </c>
      <c r="K140" s="476"/>
      <c r="L140" s="485"/>
      <c r="M140" s="476">
        <f t="shared" si="63"/>
        <v>0</v>
      </c>
      <c r="N140" s="485"/>
      <c r="O140" s="476">
        <f t="shared" si="64"/>
        <v>0</v>
      </c>
      <c r="P140" s="476">
        <f t="shared" si="62"/>
        <v>0</v>
      </c>
    </row>
    <row r="141" spans="2:16" ht="12.5">
      <c r="B141" s="160" t="str">
        <f t="shared" si="32"/>
        <v/>
      </c>
      <c r="C141" s="470">
        <f>IF(D93="","-",+C140+1)</f>
        <v>2048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59"/>
        <v>0</v>
      </c>
      <c r="G141" s="483">
        <f t="shared" si="60"/>
        <v>0</v>
      </c>
      <c r="H141" s="484">
        <f t="shared" si="57"/>
        <v>0</v>
      </c>
      <c r="I141" s="540">
        <f t="shared" si="58"/>
        <v>0</v>
      </c>
      <c r="J141" s="476">
        <f t="shared" si="61"/>
        <v>0</v>
      </c>
      <c r="K141" s="476"/>
      <c r="L141" s="485"/>
      <c r="M141" s="476">
        <f t="shared" si="63"/>
        <v>0</v>
      </c>
      <c r="N141" s="485"/>
      <c r="O141" s="476">
        <f t="shared" si="64"/>
        <v>0</v>
      </c>
      <c r="P141" s="476">
        <f t="shared" si="62"/>
        <v>0</v>
      </c>
    </row>
    <row r="142" spans="2:16" ht="12.5">
      <c r="B142" s="160" t="str">
        <f t="shared" si="32"/>
        <v/>
      </c>
      <c r="C142" s="470">
        <f>IF(D93="","-",+C141+1)</f>
        <v>2049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59"/>
        <v>0</v>
      </c>
      <c r="G142" s="483">
        <f t="shared" si="60"/>
        <v>0</v>
      </c>
      <c r="H142" s="484">
        <f t="shared" si="57"/>
        <v>0</v>
      </c>
      <c r="I142" s="540">
        <f t="shared" si="58"/>
        <v>0</v>
      </c>
      <c r="J142" s="476">
        <f t="shared" si="61"/>
        <v>0</v>
      </c>
      <c r="K142" s="476"/>
      <c r="L142" s="485"/>
      <c r="M142" s="476">
        <f t="shared" si="63"/>
        <v>0</v>
      </c>
      <c r="N142" s="485"/>
      <c r="O142" s="476">
        <f t="shared" si="64"/>
        <v>0</v>
      </c>
      <c r="P142" s="476">
        <f t="shared" si="62"/>
        <v>0</v>
      </c>
    </row>
    <row r="143" spans="2:16" ht="12.5">
      <c r="B143" s="160" t="str">
        <f t="shared" si="32"/>
        <v/>
      </c>
      <c r="C143" s="470">
        <f>IF(D93="","-",+C142+1)</f>
        <v>2050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9"/>
        <v>0</v>
      </c>
      <c r="G143" s="483">
        <f t="shared" si="60"/>
        <v>0</v>
      </c>
      <c r="H143" s="484">
        <f t="shared" si="57"/>
        <v>0</v>
      </c>
      <c r="I143" s="540">
        <f t="shared" si="58"/>
        <v>0</v>
      </c>
      <c r="J143" s="476">
        <f t="shared" si="61"/>
        <v>0</v>
      </c>
      <c r="K143" s="476"/>
      <c r="L143" s="485"/>
      <c r="M143" s="476">
        <f t="shared" si="63"/>
        <v>0</v>
      </c>
      <c r="N143" s="485"/>
      <c r="O143" s="476">
        <f t="shared" si="64"/>
        <v>0</v>
      </c>
      <c r="P143" s="476">
        <f t="shared" si="62"/>
        <v>0</v>
      </c>
    </row>
    <row r="144" spans="2:16" ht="12.5">
      <c r="B144" s="160" t="str">
        <f t="shared" si="32"/>
        <v/>
      </c>
      <c r="C144" s="470">
        <f>IF(D93="","-",+C143+1)</f>
        <v>2051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9"/>
        <v>0</v>
      </c>
      <c r="G144" s="483">
        <f t="shared" si="60"/>
        <v>0</v>
      </c>
      <c r="H144" s="484">
        <f t="shared" si="57"/>
        <v>0</v>
      </c>
      <c r="I144" s="540">
        <f t="shared" si="58"/>
        <v>0</v>
      </c>
      <c r="J144" s="476">
        <f t="shared" si="61"/>
        <v>0</v>
      </c>
      <c r="K144" s="476"/>
      <c r="L144" s="485"/>
      <c r="M144" s="476">
        <f t="shared" si="63"/>
        <v>0</v>
      </c>
      <c r="N144" s="485"/>
      <c r="O144" s="476">
        <f t="shared" si="64"/>
        <v>0</v>
      </c>
      <c r="P144" s="476">
        <f t="shared" si="62"/>
        <v>0</v>
      </c>
    </row>
    <row r="145" spans="2:16" ht="12.5">
      <c r="B145" s="160" t="str">
        <f t="shared" si="32"/>
        <v/>
      </c>
      <c r="C145" s="470">
        <f>IF(D93="","-",+C144+1)</f>
        <v>2052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9"/>
        <v>0</v>
      </c>
      <c r="G145" s="483">
        <f t="shared" si="60"/>
        <v>0</v>
      </c>
      <c r="H145" s="484">
        <f t="shared" si="57"/>
        <v>0</v>
      </c>
      <c r="I145" s="540">
        <f t="shared" si="58"/>
        <v>0</v>
      </c>
      <c r="J145" s="476">
        <f t="shared" si="61"/>
        <v>0</v>
      </c>
      <c r="K145" s="476"/>
      <c r="L145" s="485"/>
      <c r="M145" s="476">
        <f t="shared" si="63"/>
        <v>0</v>
      </c>
      <c r="N145" s="485"/>
      <c r="O145" s="476">
        <f t="shared" si="64"/>
        <v>0</v>
      </c>
      <c r="P145" s="476">
        <f t="shared" si="62"/>
        <v>0</v>
      </c>
    </row>
    <row r="146" spans="2:16" ht="12.5">
      <c r="B146" s="160" t="str">
        <f t="shared" si="32"/>
        <v/>
      </c>
      <c r="C146" s="470">
        <f>IF(D93="","-",+C145+1)</f>
        <v>2053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9"/>
        <v>0</v>
      </c>
      <c r="G146" s="483">
        <f t="shared" si="60"/>
        <v>0</v>
      </c>
      <c r="H146" s="484">
        <f t="shared" si="57"/>
        <v>0</v>
      </c>
      <c r="I146" s="540">
        <f t="shared" si="58"/>
        <v>0</v>
      </c>
      <c r="J146" s="476">
        <f t="shared" si="61"/>
        <v>0</v>
      </c>
      <c r="K146" s="476"/>
      <c r="L146" s="485"/>
      <c r="M146" s="476">
        <f t="shared" si="63"/>
        <v>0</v>
      </c>
      <c r="N146" s="485"/>
      <c r="O146" s="476">
        <f t="shared" si="64"/>
        <v>0</v>
      </c>
      <c r="P146" s="476">
        <f t="shared" si="62"/>
        <v>0</v>
      </c>
    </row>
    <row r="147" spans="2:16" ht="12.5">
      <c r="B147" s="160" t="str">
        <f t="shared" si="32"/>
        <v/>
      </c>
      <c r="C147" s="470">
        <f>IF(D93="","-",+C146+1)</f>
        <v>2054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9"/>
        <v>0</v>
      </c>
      <c r="G147" s="483">
        <f t="shared" si="60"/>
        <v>0</v>
      </c>
      <c r="H147" s="484">
        <f t="shared" si="57"/>
        <v>0</v>
      </c>
      <c r="I147" s="540">
        <f t="shared" si="58"/>
        <v>0</v>
      </c>
      <c r="J147" s="476">
        <f t="shared" si="61"/>
        <v>0</v>
      </c>
      <c r="K147" s="476"/>
      <c r="L147" s="485"/>
      <c r="M147" s="476">
        <f t="shared" si="63"/>
        <v>0</v>
      </c>
      <c r="N147" s="485"/>
      <c r="O147" s="476">
        <f t="shared" si="64"/>
        <v>0</v>
      </c>
      <c r="P147" s="476">
        <f t="shared" si="62"/>
        <v>0</v>
      </c>
    </row>
    <row r="148" spans="2:16" ht="12.5">
      <c r="B148" s="160" t="str">
        <f t="shared" si="32"/>
        <v/>
      </c>
      <c r="C148" s="470">
        <f>IF(D93="","-",+C147+1)</f>
        <v>2055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9"/>
        <v>0</v>
      </c>
      <c r="G148" s="483">
        <f t="shared" si="60"/>
        <v>0</v>
      </c>
      <c r="H148" s="484">
        <f t="shared" si="57"/>
        <v>0</v>
      </c>
      <c r="I148" s="540">
        <f t="shared" si="58"/>
        <v>0</v>
      </c>
      <c r="J148" s="476">
        <f t="shared" si="61"/>
        <v>0</v>
      </c>
      <c r="K148" s="476"/>
      <c r="L148" s="485"/>
      <c r="M148" s="476">
        <f t="shared" si="63"/>
        <v>0</v>
      </c>
      <c r="N148" s="485"/>
      <c r="O148" s="476">
        <f t="shared" si="64"/>
        <v>0</v>
      </c>
      <c r="P148" s="476">
        <f t="shared" si="62"/>
        <v>0</v>
      </c>
    </row>
    <row r="149" spans="2:16" ht="12.5">
      <c r="B149" s="160" t="str">
        <f t="shared" si="32"/>
        <v/>
      </c>
      <c r="C149" s="470">
        <f>IF(D93="","-",+C148+1)</f>
        <v>2056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9"/>
        <v>0</v>
      </c>
      <c r="G149" s="483">
        <f t="shared" si="60"/>
        <v>0</v>
      </c>
      <c r="H149" s="484">
        <f t="shared" si="57"/>
        <v>0</v>
      </c>
      <c r="I149" s="540">
        <f t="shared" si="58"/>
        <v>0</v>
      </c>
      <c r="J149" s="476">
        <f t="shared" si="61"/>
        <v>0</v>
      </c>
      <c r="K149" s="476"/>
      <c r="L149" s="485"/>
      <c r="M149" s="476">
        <f t="shared" si="63"/>
        <v>0</v>
      </c>
      <c r="N149" s="485"/>
      <c r="O149" s="476">
        <f t="shared" si="64"/>
        <v>0</v>
      </c>
      <c r="P149" s="476">
        <f t="shared" si="62"/>
        <v>0</v>
      </c>
    </row>
    <row r="150" spans="2:16" ht="12.5">
      <c r="B150" s="160" t="str">
        <f t="shared" si="32"/>
        <v/>
      </c>
      <c r="C150" s="470">
        <f>IF(D93="","-",+C149+1)</f>
        <v>2057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9"/>
        <v>0</v>
      </c>
      <c r="G150" s="483">
        <f t="shared" si="60"/>
        <v>0</v>
      </c>
      <c r="H150" s="484">
        <f t="shared" si="57"/>
        <v>0</v>
      </c>
      <c r="I150" s="540">
        <f t="shared" si="58"/>
        <v>0</v>
      </c>
      <c r="J150" s="476">
        <f t="shared" si="61"/>
        <v>0</v>
      </c>
      <c r="K150" s="476"/>
      <c r="L150" s="485"/>
      <c r="M150" s="476">
        <f t="shared" si="63"/>
        <v>0</v>
      </c>
      <c r="N150" s="485"/>
      <c r="O150" s="476">
        <f t="shared" si="64"/>
        <v>0</v>
      </c>
      <c r="P150" s="476">
        <f t="shared" si="62"/>
        <v>0</v>
      </c>
    </row>
    <row r="151" spans="2:16" ht="12.5">
      <c r="B151" s="160" t="str">
        <f t="shared" si="32"/>
        <v/>
      </c>
      <c r="C151" s="470">
        <f>IF(D93="","-",+C150+1)</f>
        <v>2058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9"/>
        <v>0</v>
      </c>
      <c r="G151" s="483">
        <f t="shared" si="60"/>
        <v>0</v>
      </c>
      <c r="H151" s="484">
        <f t="shared" si="57"/>
        <v>0</v>
      </c>
      <c r="I151" s="540">
        <f t="shared" si="58"/>
        <v>0</v>
      </c>
      <c r="J151" s="476">
        <f t="shared" si="61"/>
        <v>0</v>
      </c>
      <c r="K151" s="476"/>
      <c r="L151" s="485"/>
      <c r="M151" s="476">
        <f t="shared" si="63"/>
        <v>0</v>
      </c>
      <c r="N151" s="485"/>
      <c r="O151" s="476">
        <f t="shared" si="64"/>
        <v>0</v>
      </c>
      <c r="P151" s="476">
        <f t="shared" si="62"/>
        <v>0</v>
      </c>
    </row>
    <row r="152" spans="2:16" ht="12.5">
      <c r="B152" s="160" t="str">
        <f t="shared" si="32"/>
        <v/>
      </c>
      <c r="C152" s="470">
        <f>IF(D93="","-",+C151+1)</f>
        <v>2059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9"/>
        <v>0</v>
      </c>
      <c r="G152" s="483">
        <f t="shared" si="60"/>
        <v>0</v>
      </c>
      <c r="H152" s="484">
        <f t="shared" si="57"/>
        <v>0</v>
      </c>
      <c r="I152" s="540">
        <f t="shared" si="58"/>
        <v>0</v>
      </c>
      <c r="J152" s="476">
        <f t="shared" si="61"/>
        <v>0</v>
      </c>
      <c r="K152" s="476"/>
      <c r="L152" s="485"/>
      <c r="M152" s="476">
        <f t="shared" si="63"/>
        <v>0</v>
      </c>
      <c r="N152" s="485"/>
      <c r="O152" s="476">
        <f t="shared" si="64"/>
        <v>0</v>
      </c>
      <c r="P152" s="476">
        <f t="shared" si="62"/>
        <v>0</v>
      </c>
    </row>
    <row r="153" spans="2:16" ht="12.5">
      <c r="B153" s="160" t="str">
        <f t="shared" si="32"/>
        <v/>
      </c>
      <c r="C153" s="470">
        <f>IF(D93="","-",+C152+1)</f>
        <v>2060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9"/>
        <v>0</v>
      </c>
      <c r="G153" s="483">
        <f t="shared" si="60"/>
        <v>0</v>
      </c>
      <c r="H153" s="484">
        <f t="shared" si="57"/>
        <v>0</v>
      </c>
      <c r="I153" s="540">
        <f t="shared" si="58"/>
        <v>0</v>
      </c>
      <c r="J153" s="476">
        <f t="shared" si="61"/>
        <v>0</v>
      </c>
      <c r="K153" s="476"/>
      <c r="L153" s="485"/>
      <c r="M153" s="476">
        <f t="shared" si="63"/>
        <v>0</v>
      </c>
      <c r="N153" s="485"/>
      <c r="O153" s="476">
        <f t="shared" si="64"/>
        <v>0</v>
      </c>
      <c r="P153" s="476">
        <f t="shared" si="62"/>
        <v>0</v>
      </c>
    </row>
    <row r="154" spans="2:16" ht="13" thickBot="1">
      <c r="B154" s="160" t="str">
        <f t="shared" si="32"/>
        <v/>
      </c>
      <c r="C154" s="487">
        <f>IF(D93="","-",+C153+1)</f>
        <v>2061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9"/>
        <v>0</v>
      </c>
      <c r="G154" s="488">
        <f t="shared" si="60"/>
        <v>0</v>
      </c>
      <c r="H154" s="490">
        <f t="shared" ref="H154" si="65">+J$94*G154+E154</f>
        <v>0</v>
      </c>
      <c r="I154" s="543">
        <f t="shared" ref="I154" si="66">+J$95*G154+E154</f>
        <v>0</v>
      </c>
      <c r="J154" s="493">
        <f t="shared" si="61"/>
        <v>0</v>
      </c>
      <c r="K154" s="476"/>
      <c r="L154" s="492"/>
      <c r="M154" s="493">
        <f t="shared" si="63"/>
        <v>0</v>
      </c>
      <c r="N154" s="492"/>
      <c r="O154" s="493">
        <f t="shared" si="64"/>
        <v>0</v>
      </c>
      <c r="P154" s="493">
        <f t="shared" si="62"/>
        <v>0</v>
      </c>
    </row>
    <row r="155" spans="2:16" ht="12.5">
      <c r="C155" s="345" t="s">
        <v>77</v>
      </c>
      <c r="D155" s="346"/>
      <c r="E155" s="346">
        <f>SUM(E99:E154)</f>
        <v>387742</v>
      </c>
      <c r="F155" s="346"/>
      <c r="G155" s="346"/>
      <c r="H155" s="346">
        <f>SUM(H99:H154)</f>
        <v>1439390.9371216982</v>
      </c>
      <c r="I155" s="346">
        <f>SUM(I99:I154)</f>
        <v>1439390.9371216982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4"/>
  <dimension ref="A1:P162"/>
  <sheetViews>
    <sheetView topLeftCell="A68" zoomScaleNormal="100" zoomScaleSheetLayoutView="75" workbookViewId="0">
      <selection activeCell="D94" sqref="D9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6 of 31</v>
      </c>
    </row>
    <row r="2" spans="1:16" ht="17.5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.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279</v>
      </c>
      <c r="L5" s="421"/>
      <c r="M5" s="422"/>
      <c r="N5" s="423">
        <f>VLOOKUP(I10,C17:I72,5)</f>
        <v>160484.23733816287</v>
      </c>
      <c r="P5" s="231"/>
    </row>
    <row r="6" spans="1:16" ht="15.5">
      <c r="C6" s="243"/>
      <c r="D6" s="239"/>
      <c r="E6" s="231"/>
      <c r="F6" s="231"/>
      <c r="G6" s="231"/>
      <c r="H6" s="424"/>
      <c r="I6" s="424"/>
      <c r="J6" s="425"/>
      <c r="K6" s="426" t="s">
        <v>280</v>
      </c>
      <c r="L6" s="427"/>
      <c r="M6" s="241"/>
      <c r="N6" s="428">
        <f>VLOOKUP(I10,C17:I72,6)</f>
        <v>160484.23733816287</v>
      </c>
      <c r="O6" s="231"/>
      <c r="P6" s="231"/>
    </row>
    <row r="7" spans="1:16" ht="13.5" thickBot="1">
      <c r="C7" s="429" t="s">
        <v>46</v>
      </c>
      <c r="D7" s="562" t="s">
        <v>84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85</v>
      </c>
      <c r="E9" s="440"/>
      <c r="F9" s="440"/>
      <c r="G9" s="440"/>
      <c r="H9" s="440"/>
      <c r="I9" s="441"/>
      <c r="J9" s="442"/>
      <c r="O9" s="443"/>
      <c r="P9" s="241"/>
    </row>
    <row r="10" spans="1:16" ht="13">
      <c r="C10" s="444" t="s">
        <v>226</v>
      </c>
      <c r="D10" s="445">
        <v>1520502</v>
      </c>
      <c r="E10" s="323" t="s">
        <v>51</v>
      </c>
      <c r="F10" s="443"/>
      <c r="G10" s="446"/>
      <c r="H10" s="446"/>
      <c r="I10" s="447">
        <f>+'PSO.WS.F.BPU.ATRR.Projected'!L19</f>
        <v>2023</v>
      </c>
      <c r="J10" s="442"/>
      <c r="K10" s="346" t="s">
        <v>52</v>
      </c>
      <c r="O10" s="241"/>
      <c r="P10" s="241"/>
    </row>
    <row r="11" spans="1:16" ht="12.5">
      <c r="C11" s="448" t="s">
        <v>53</v>
      </c>
      <c r="D11" s="449">
        <v>2008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 ht="12.5">
      <c r="C12" s="448" t="s">
        <v>55</v>
      </c>
      <c r="D12" s="445">
        <v>4</v>
      </c>
      <c r="E12" s="448" t="s">
        <v>56</v>
      </c>
      <c r="F12" s="446"/>
      <c r="G12" s="194"/>
      <c r="H12" s="194"/>
      <c r="I12" s="452">
        <f>'PSO.WS.F.BPU.ATRR.Projected'!$F$81</f>
        <v>0.11935895065679607</v>
      </c>
      <c r="J12" s="395"/>
      <c r="K12" s="148" t="s">
        <v>57</v>
      </c>
      <c r="O12" s="241"/>
      <c r="P12" s="241"/>
    </row>
    <row r="13" spans="1:16" ht="12.5">
      <c r="C13" s="448" t="s">
        <v>58</v>
      </c>
      <c r="D13" s="450">
        <f>+'PSO.WS.F.BPU.ATRR.Projected'!F$93</f>
        <v>39</v>
      </c>
      <c r="E13" s="448" t="s">
        <v>59</v>
      </c>
      <c r="F13" s="446"/>
      <c r="G13" s="194"/>
      <c r="H13" s="194"/>
      <c r="I13" s="452">
        <f>IF(G5="",I12,'PSO.WS.F.BPU.ATRR.Projected'!$F$80)</f>
        <v>0.11935895065679607</v>
      </c>
      <c r="J13" s="395"/>
      <c r="K13" s="346" t="s">
        <v>60</v>
      </c>
      <c r="L13" s="293"/>
      <c r="M13" s="293"/>
      <c r="N13" s="293"/>
      <c r="O13" s="241"/>
      <c r="P13" s="241"/>
    </row>
    <row r="14" spans="1:16" ht="13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38987.230769230766</v>
      </c>
      <c r="J14" s="346"/>
      <c r="K14" s="346"/>
      <c r="L14" s="346"/>
      <c r="M14" s="346"/>
      <c r="N14" s="346"/>
      <c r="O14" s="241"/>
      <c r="P14" s="241"/>
    </row>
    <row r="15" spans="1:16" ht="39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281</v>
      </c>
      <c r="H15" s="457" t="s">
        <v>282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2.5">
      <c r="B17" s="160"/>
      <c r="C17" s="470">
        <f>IF(D11= "","-",D11)</f>
        <v>2008</v>
      </c>
      <c r="D17" s="471">
        <v>1520473</v>
      </c>
      <c r="E17" s="472">
        <v>19125</v>
      </c>
      <c r="F17" s="471">
        <v>1501348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 ht="12.5">
      <c r="B18" s="160" t="str">
        <f>IF(D18=F17,"","IU")</f>
        <v/>
      </c>
      <c r="C18" s="470">
        <f>IF(D11="","-",+C17+1)</f>
        <v>2009</v>
      </c>
      <c r="D18" s="477">
        <v>1501348</v>
      </c>
      <c r="E18" s="478">
        <v>28688</v>
      </c>
      <c r="F18" s="477">
        <v>1472660</v>
      </c>
      <c r="G18" s="478">
        <v>254309</v>
      </c>
      <c r="H18" s="479">
        <v>254309</v>
      </c>
      <c r="I18" s="473">
        <f t="shared" si="0"/>
        <v>0</v>
      </c>
      <c r="J18" s="473"/>
      <c r="K18" s="474">
        <v>254309</v>
      </c>
      <c r="L18" s="476">
        <f t="shared" si="1"/>
        <v>0</v>
      </c>
      <c r="M18" s="474">
        <v>254309</v>
      </c>
      <c r="N18" s="476">
        <f t="shared" si="2"/>
        <v>0</v>
      </c>
      <c r="O18" s="476">
        <f t="shared" si="3"/>
        <v>0</v>
      </c>
      <c r="P18" s="241"/>
    </row>
    <row r="19" spans="2:16" ht="12.5">
      <c r="B19" s="160" t="str">
        <f>IF(D19=F18,"","IU")</f>
        <v>IU</v>
      </c>
      <c r="C19" s="470">
        <f>IF(D11="","-",+C18+1)</f>
        <v>2010</v>
      </c>
      <c r="D19" s="477">
        <v>1472689</v>
      </c>
      <c r="E19" s="478">
        <v>27151.821428571428</v>
      </c>
      <c r="F19" s="477">
        <v>1445537.1785714286</v>
      </c>
      <c r="G19" s="478">
        <v>235737.79751815079</v>
      </c>
      <c r="H19" s="479">
        <v>235737.79751815079</v>
      </c>
      <c r="I19" s="473">
        <f t="shared" si="0"/>
        <v>0</v>
      </c>
      <c r="J19" s="473"/>
      <c r="K19" s="538">
        <f t="shared" ref="K19:K24" si="4">G19</f>
        <v>235737.79751815079</v>
      </c>
      <c r="L19" s="539">
        <f t="shared" si="1"/>
        <v>0</v>
      </c>
      <c r="M19" s="538">
        <f t="shared" ref="M19:M24" si="5">H19</f>
        <v>235737.79751815079</v>
      </c>
      <c r="N19" s="476">
        <f t="shared" si="2"/>
        <v>0</v>
      </c>
      <c r="O19" s="476">
        <f t="shared" si="3"/>
        <v>0</v>
      </c>
      <c r="P19" s="241"/>
    </row>
    <row r="20" spans="2:16" ht="12.5">
      <c r="B20" s="160" t="str">
        <f t="shared" ref="B20:B72" si="6">IF(D20=F19,"","IU")</f>
        <v/>
      </c>
      <c r="C20" s="470">
        <f>IF(D11="","-",+C19+1)</f>
        <v>2011</v>
      </c>
      <c r="D20" s="477">
        <v>1445537.1785714286</v>
      </c>
      <c r="E20" s="478">
        <v>29813.764705882353</v>
      </c>
      <c r="F20" s="477">
        <v>1415723.4138655462</v>
      </c>
      <c r="G20" s="478">
        <v>251435.83921239444</v>
      </c>
      <c r="H20" s="479">
        <v>251435.83921239444</v>
      </c>
      <c r="I20" s="473">
        <f t="shared" si="0"/>
        <v>0</v>
      </c>
      <c r="J20" s="473"/>
      <c r="K20" s="474">
        <f t="shared" si="4"/>
        <v>251435.83921239444</v>
      </c>
      <c r="L20" s="548">
        <f t="shared" si="1"/>
        <v>0</v>
      </c>
      <c r="M20" s="474">
        <f t="shared" si="5"/>
        <v>251435.83921239444</v>
      </c>
      <c r="N20" s="476">
        <f t="shared" si="2"/>
        <v>0</v>
      </c>
      <c r="O20" s="476">
        <f t="shared" si="3"/>
        <v>0</v>
      </c>
      <c r="P20" s="241"/>
    </row>
    <row r="21" spans="2:16" ht="12.5">
      <c r="B21" s="160" t="str">
        <f t="shared" si="6"/>
        <v/>
      </c>
      <c r="C21" s="470">
        <f>IF(D11="","-",+C20+1)</f>
        <v>2012</v>
      </c>
      <c r="D21" s="477">
        <v>1415723.4138655462</v>
      </c>
      <c r="E21" s="478">
        <v>29240.423076923078</v>
      </c>
      <c r="F21" s="477">
        <v>1386482.9907886232</v>
      </c>
      <c r="G21" s="478">
        <v>222248.1918516063</v>
      </c>
      <c r="H21" s="479">
        <v>222248.1918516063</v>
      </c>
      <c r="I21" s="473">
        <f t="shared" si="0"/>
        <v>0</v>
      </c>
      <c r="J21" s="473"/>
      <c r="K21" s="474">
        <f t="shared" si="4"/>
        <v>222248.1918516063</v>
      </c>
      <c r="L21" s="548">
        <f t="shared" si="1"/>
        <v>0</v>
      </c>
      <c r="M21" s="474">
        <f t="shared" si="5"/>
        <v>222248.1918516063</v>
      </c>
      <c r="N21" s="476">
        <f t="shared" si="2"/>
        <v>0</v>
      </c>
      <c r="O21" s="476">
        <f t="shared" si="3"/>
        <v>0</v>
      </c>
      <c r="P21" s="241"/>
    </row>
    <row r="22" spans="2:16" ht="12.5">
      <c r="B22" s="160" t="str">
        <f t="shared" si="6"/>
        <v/>
      </c>
      <c r="C22" s="470">
        <f>IF(D11="","-",+C21+1)</f>
        <v>2013</v>
      </c>
      <c r="D22" s="477">
        <v>1386482.9907886232</v>
      </c>
      <c r="E22" s="478">
        <v>29240.423076923078</v>
      </c>
      <c r="F22" s="477">
        <v>1357242.5677117002</v>
      </c>
      <c r="G22" s="478">
        <v>223063.83719618269</v>
      </c>
      <c r="H22" s="479">
        <v>223063.83719618269</v>
      </c>
      <c r="I22" s="473">
        <v>0</v>
      </c>
      <c r="J22" s="473"/>
      <c r="K22" s="474">
        <f t="shared" si="4"/>
        <v>223063.83719618269</v>
      </c>
      <c r="L22" s="548">
        <f t="shared" ref="L22:L27" si="7">IF(K22&lt;&gt;0,+G22-K22,0)</f>
        <v>0</v>
      </c>
      <c r="M22" s="474">
        <f t="shared" si="5"/>
        <v>223063.83719618269</v>
      </c>
      <c r="N22" s="476">
        <f t="shared" ref="N22:N27" si="8">IF(M22&lt;&gt;0,+H22-M22,0)</f>
        <v>0</v>
      </c>
      <c r="O22" s="476">
        <f t="shared" ref="O22:O27" si="9">+N22-L22</f>
        <v>0</v>
      </c>
      <c r="P22" s="241"/>
    </row>
    <row r="23" spans="2:16" ht="12.5">
      <c r="B23" s="160" t="str">
        <f t="shared" si="6"/>
        <v/>
      </c>
      <c r="C23" s="470">
        <f>IF(D11="","-",+C22+1)</f>
        <v>2014</v>
      </c>
      <c r="D23" s="477">
        <v>1357242.5677117002</v>
      </c>
      <c r="E23" s="478">
        <v>29240.423076923078</v>
      </c>
      <c r="F23" s="477">
        <v>1328002.1446347772</v>
      </c>
      <c r="G23" s="478">
        <v>212051.56179808528</v>
      </c>
      <c r="H23" s="479">
        <v>212051.56179808528</v>
      </c>
      <c r="I23" s="473">
        <v>0</v>
      </c>
      <c r="J23" s="473"/>
      <c r="K23" s="474">
        <f t="shared" si="4"/>
        <v>212051.56179808528</v>
      </c>
      <c r="L23" s="548">
        <f t="shared" si="7"/>
        <v>0</v>
      </c>
      <c r="M23" s="474">
        <f t="shared" si="5"/>
        <v>212051.56179808528</v>
      </c>
      <c r="N23" s="476">
        <f t="shared" si="8"/>
        <v>0</v>
      </c>
      <c r="O23" s="476">
        <f t="shared" si="9"/>
        <v>0</v>
      </c>
      <c r="P23" s="241"/>
    </row>
    <row r="24" spans="2:16" ht="12.5">
      <c r="B24" s="160" t="str">
        <f t="shared" si="6"/>
        <v/>
      </c>
      <c r="C24" s="470">
        <f>IF(D11="","-",+C23+1)</f>
        <v>2015</v>
      </c>
      <c r="D24" s="477">
        <v>1328002.1446347772</v>
      </c>
      <c r="E24" s="478">
        <v>29240.423076923078</v>
      </c>
      <c r="F24" s="477">
        <v>1298761.7215578542</v>
      </c>
      <c r="G24" s="478">
        <v>208302.85337289202</v>
      </c>
      <c r="H24" s="479">
        <v>208302.85337289202</v>
      </c>
      <c r="I24" s="473">
        <v>0</v>
      </c>
      <c r="J24" s="473"/>
      <c r="K24" s="474">
        <f t="shared" si="4"/>
        <v>208302.85337289202</v>
      </c>
      <c r="L24" s="548">
        <f t="shared" si="7"/>
        <v>0</v>
      </c>
      <c r="M24" s="474">
        <f t="shared" si="5"/>
        <v>208302.85337289202</v>
      </c>
      <c r="N24" s="476">
        <f t="shared" si="8"/>
        <v>0</v>
      </c>
      <c r="O24" s="476">
        <f t="shared" si="9"/>
        <v>0</v>
      </c>
      <c r="P24" s="241"/>
    </row>
    <row r="25" spans="2:16" ht="12.5">
      <c r="B25" s="160" t="str">
        <f t="shared" si="6"/>
        <v/>
      </c>
      <c r="C25" s="470">
        <f>IF(D11="","-",+C24+1)</f>
        <v>2016</v>
      </c>
      <c r="D25" s="477">
        <v>1298761.7215578542</v>
      </c>
      <c r="E25" s="478">
        <v>29240.423076923078</v>
      </c>
      <c r="F25" s="477">
        <v>1269521.2984809312</v>
      </c>
      <c r="G25" s="478">
        <v>195750.37197477801</v>
      </c>
      <c r="H25" s="479">
        <v>195750.37197477801</v>
      </c>
      <c r="I25" s="473">
        <f t="shared" si="0"/>
        <v>0</v>
      </c>
      <c r="J25" s="473"/>
      <c r="K25" s="474">
        <f t="shared" ref="K25:K30" si="10">G25</f>
        <v>195750.37197477801</v>
      </c>
      <c r="L25" s="548">
        <f t="shared" si="7"/>
        <v>0</v>
      </c>
      <c r="M25" s="474">
        <f t="shared" ref="M25:M30" si="11">H25</f>
        <v>195750.37197477801</v>
      </c>
      <c r="N25" s="476">
        <f t="shared" si="8"/>
        <v>0</v>
      </c>
      <c r="O25" s="476">
        <f t="shared" si="9"/>
        <v>0</v>
      </c>
      <c r="P25" s="241"/>
    </row>
    <row r="26" spans="2:16" ht="12.5">
      <c r="B26" s="160" t="str">
        <f t="shared" si="6"/>
        <v/>
      </c>
      <c r="C26" s="470">
        <f>IF(D11="","-",+C25+1)</f>
        <v>2017</v>
      </c>
      <c r="D26" s="477">
        <v>1269521.2984809312</v>
      </c>
      <c r="E26" s="478">
        <v>33054.391304347824</v>
      </c>
      <c r="F26" s="477">
        <v>1236466.9071765833</v>
      </c>
      <c r="G26" s="478">
        <v>190407.97943741584</v>
      </c>
      <c r="H26" s="479">
        <v>190407.97943741584</v>
      </c>
      <c r="I26" s="473">
        <f t="shared" si="0"/>
        <v>0</v>
      </c>
      <c r="J26" s="473"/>
      <c r="K26" s="474">
        <f t="shared" si="10"/>
        <v>190407.97943741584</v>
      </c>
      <c r="L26" s="548">
        <f t="shared" si="7"/>
        <v>0</v>
      </c>
      <c r="M26" s="474">
        <f t="shared" si="11"/>
        <v>190407.97943741584</v>
      </c>
      <c r="N26" s="476">
        <f t="shared" si="8"/>
        <v>0</v>
      </c>
      <c r="O26" s="476">
        <f t="shared" si="9"/>
        <v>0</v>
      </c>
      <c r="P26" s="241"/>
    </row>
    <row r="27" spans="2:16" ht="12.5">
      <c r="B27" s="160" t="str">
        <f t="shared" si="6"/>
        <v/>
      </c>
      <c r="C27" s="470">
        <f>IF(D11="","-",+C26+1)</f>
        <v>2018</v>
      </c>
      <c r="D27" s="477">
        <v>1236466.9071765833</v>
      </c>
      <c r="E27" s="478">
        <v>33788.933333333334</v>
      </c>
      <c r="F27" s="477">
        <v>1202677.97384325</v>
      </c>
      <c r="G27" s="478">
        <v>179843.63692519162</v>
      </c>
      <c r="H27" s="479">
        <v>179843.63692519162</v>
      </c>
      <c r="I27" s="473">
        <f t="shared" si="0"/>
        <v>0</v>
      </c>
      <c r="J27" s="473"/>
      <c r="K27" s="474">
        <f t="shared" si="10"/>
        <v>179843.63692519162</v>
      </c>
      <c r="L27" s="548">
        <f t="shared" si="7"/>
        <v>0</v>
      </c>
      <c r="M27" s="474">
        <f t="shared" si="11"/>
        <v>179843.63692519162</v>
      </c>
      <c r="N27" s="476">
        <f t="shared" si="8"/>
        <v>0</v>
      </c>
      <c r="O27" s="476">
        <f t="shared" si="9"/>
        <v>0</v>
      </c>
      <c r="P27" s="241"/>
    </row>
    <row r="28" spans="2:16" ht="12.5">
      <c r="B28" s="160" t="str">
        <f t="shared" si="6"/>
        <v/>
      </c>
      <c r="C28" s="470">
        <f>IF(D11="","-",+C27+1)</f>
        <v>2019</v>
      </c>
      <c r="D28" s="477">
        <v>1202677.97384325</v>
      </c>
      <c r="E28" s="478">
        <v>38012.550000000003</v>
      </c>
      <c r="F28" s="477">
        <v>1164665.4238432499</v>
      </c>
      <c r="G28" s="478">
        <v>170177.34445508715</v>
      </c>
      <c r="H28" s="479">
        <v>170177.34445508715</v>
      </c>
      <c r="I28" s="473">
        <f t="shared" si="0"/>
        <v>0</v>
      </c>
      <c r="J28" s="473"/>
      <c r="K28" s="474">
        <f t="shared" si="10"/>
        <v>170177.34445508715</v>
      </c>
      <c r="L28" s="548">
        <f t="shared" ref="L28" si="12">IF(K28&lt;&gt;0,+G28-K28,0)</f>
        <v>0</v>
      </c>
      <c r="M28" s="474">
        <f t="shared" si="11"/>
        <v>170177.34445508715</v>
      </c>
      <c r="N28" s="476">
        <f t="shared" ref="N28" si="13">IF(M28&lt;&gt;0,+H28-M28,0)</f>
        <v>0</v>
      </c>
      <c r="O28" s="476">
        <f t="shared" ref="O28" si="14">+N28-L28</f>
        <v>0</v>
      </c>
      <c r="P28" s="241"/>
    </row>
    <row r="29" spans="2:16" ht="12.5">
      <c r="B29" s="160" t="str">
        <f t="shared" si="6"/>
        <v>IU</v>
      </c>
      <c r="C29" s="470">
        <f>IF(D11="","-",+C28+1)</f>
        <v>2020</v>
      </c>
      <c r="D29" s="477">
        <v>1168889.0405099166</v>
      </c>
      <c r="E29" s="478">
        <v>36202.428571428572</v>
      </c>
      <c r="F29" s="477">
        <v>1132686.611938488</v>
      </c>
      <c r="G29" s="478">
        <v>160493.01101346352</v>
      </c>
      <c r="H29" s="479">
        <v>160493.01101346352</v>
      </c>
      <c r="I29" s="473">
        <f t="shared" si="0"/>
        <v>0</v>
      </c>
      <c r="J29" s="473"/>
      <c r="K29" s="474">
        <f t="shared" si="10"/>
        <v>160493.01101346352</v>
      </c>
      <c r="L29" s="548">
        <f t="shared" ref="L29" si="15">IF(K29&lt;&gt;0,+G29-K29,0)</f>
        <v>0</v>
      </c>
      <c r="M29" s="474">
        <f t="shared" si="11"/>
        <v>160493.01101346352</v>
      </c>
      <c r="N29" s="476">
        <f t="shared" si="2"/>
        <v>0</v>
      </c>
      <c r="O29" s="476">
        <f t="shared" si="3"/>
        <v>0</v>
      </c>
      <c r="P29" s="241"/>
    </row>
    <row r="30" spans="2:16" ht="12.5">
      <c r="B30" s="160" t="str">
        <f t="shared" si="6"/>
        <v>IU</v>
      </c>
      <c r="C30" s="470">
        <f>IF(D11="","-",+C29+1)</f>
        <v>2021</v>
      </c>
      <c r="D30" s="477">
        <v>1128462.995271821</v>
      </c>
      <c r="E30" s="478">
        <v>35360.511627906977</v>
      </c>
      <c r="F30" s="477">
        <v>1093102.4836439141</v>
      </c>
      <c r="G30" s="478">
        <v>153220.62710843381</v>
      </c>
      <c r="H30" s="479">
        <v>153220.62710843381</v>
      </c>
      <c r="I30" s="473">
        <f t="shared" si="0"/>
        <v>0</v>
      </c>
      <c r="J30" s="473"/>
      <c r="K30" s="474">
        <f t="shared" si="10"/>
        <v>153220.62710843381</v>
      </c>
      <c r="L30" s="548">
        <f t="shared" ref="L30" si="16">IF(K30&lt;&gt;0,+G30-K30,0)</f>
        <v>0</v>
      </c>
      <c r="M30" s="474">
        <f t="shared" si="11"/>
        <v>153220.62710843381</v>
      </c>
      <c r="N30" s="476">
        <f t="shared" si="2"/>
        <v>0</v>
      </c>
      <c r="O30" s="476">
        <f t="shared" si="3"/>
        <v>0</v>
      </c>
      <c r="P30" s="241"/>
    </row>
    <row r="31" spans="2:16" ht="12.5">
      <c r="B31" s="160" t="str">
        <f t="shared" si="6"/>
        <v/>
      </c>
      <c r="C31" s="470">
        <f>IF(D11="","-",+C30+1)</f>
        <v>2022</v>
      </c>
      <c r="D31" s="477">
        <v>1093102.4836439141</v>
      </c>
      <c r="E31" s="478">
        <v>36202.428571428572</v>
      </c>
      <c r="F31" s="477">
        <v>1056900.0550724855</v>
      </c>
      <c r="G31" s="478">
        <v>150148.14020254629</v>
      </c>
      <c r="H31" s="479">
        <v>150148.14020254629</v>
      </c>
      <c r="I31" s="473">
        <f t="shared" si="0"/>
        <v>0</v>
      </c>
      <c r="J31" s="473"/>
      <c r="K31" s="474">
        <f t="shared" ref="K31" si="17">G31</f>
        <v>150148.14020254629</v>
      </c>
      <c r="L31" s="548">
        <f t="shared" ref="L31" si="18">IF(K31&lt;&gt;0,+G31-K31,0)</f>
        <v>0</v>
      </c>
      <c r="M31" s="474">
        <f t="shared" ref="M31" si="19">H31</f>
        <v>150148.14020254629</v>
      </c>
      <c r="N31" s="476">
        <f t="shared" si="2"/>
        <v>0</v>
      </c>
      <c r="O31" s="476">
        <f t="shared" si="3"/>
        <v>0</v>
      </c>
      <c r="P31" s="241"/>
    </row>
    <row r="32" spans="2:16" ht="12.5">
      <c r="B32" s="160" t="str">
        <f t="shared" si="6"/>
        <v/>
      </c>
      <c r="C32" s="470">
        <f>IF(D11="","-",+C31+1)</f>
        <v>2023</v>
      </c>
      <c r="D32" s="477">
        <v>1056900.0550724855</v>
      </c>
      <c r="E32" s="478">
        <v>38987.230769230766</v>
      </c>
      <c r="F32" s="477">
        <v>1017912.8243032547</v>
      </c>
      <c r="G32" s="478">
        <v>160484.23733816287</v>
      </c>
      <c r="H32" s="479">
        <v>160484.23733816287</v>
      </c>
      <c r="I32" s="473">
        <f t="shared" si="0"/>
        <v>0</v>
      </c>
      <c r="J32" s="473"/>
      <c r="K32" s="474">
        <f t="shared" ref="K32" si="20">G32</f>
        <v>160484.23733816287</v>
      </c>
      <c r="L32" s="548">
        <f t="shared" ref="L32" si="21">IF(K32&lt;&gt;0,+G32-K32,0)</f>
        <v>0</v>
      </c>
      <c r="M32" s="474">
        <f t="shared" ref="M32" si="22">H32</f>
        <v>160484.23733816287</v>
      </c>
      <c r="N32" s="476">
        <f t="shared" si="2"/>
        <v>0</v>
      </c>
      <c r="O32" s="476">
        <f t="shared" si="3"/>
        <v>0</v>
      </c>
      <c r="P32" s="241"/>
    </row>
    <row r="33" spans="2:16" ht="12.5">
      <c r="B33" s="160" t="str">
        <f t="shared" si="6"/>
        <v/>
      </c>
      <c r="C33" s="470">
        <f>IF(D11="","-",+C32+1)</f>
        <v>2024</v>
      </c>
      <c r="D33" s="483">
        <f>IF(F32+SUM(E$17:E32)=D$10,F32,D$10-SUM(E$17:E32))</f>
        <v>1017912.8243032547</v>
      </c>
      <c r="E33" s="482">
        <f>IF(+I14&lt;F32,I14,D33)</f>
        <v>38987.230769230766</v>
      </c>
      <c r="F33" s="483">
        <f t="shared" ref="F33:F48" si="23">+D33-E33</f>
        <v>978925.59353402397</v>
      </c>
      <c r="G33" s="484">
        <f t="shared" ref="G33:G72" si="24">(D33+F33)/2*I$12+E33</f>
        <v>158157.49986134801</v>
      </c>
      <c r="H33" s="453">
        <f t="shared" ref="H33:H72" si="25">+(D33+F33)/2*I$13+E33</f>
        <v>158157.49986134801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 ht="12.5">
      <c r="B34" s="160" t="str">
        <f t="shared" si="6"/>
        <v/>
      </c>
      <c r="C34" s="470">
        <f>IF(D11="","-",+C33+1)</f>
        <v>2025</v>
      </c>
      <c r="D34" s="483">
        <f>IF(F33+SUM(E$17:E33)=D$10,F33,D$10-SUM(E$17:E33))</f>
        <v>978925.59353402397</v>
      </c>
      <c r="E34" s="482">
        <f>IF(+I14&lt;F33,I14,D34)</f>
        <v>38987.230769230766</v>
      </c>
      <c r="F34" s="483">
        <f t="shared" si="23"/>
        <v>939938.36276479322</v>
      </c>
      <c r="G34" s="484">
        <f t="shared" si="24"/>
        <v>153504.02490771827</v>
      </c>
      <c r="H34" s="453">
        <f t="shared" si="25"/>
        <v>153504.02490771827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 ht="12.5">
      <c r="B35" s="160" t="str">
        <f t="shared" si="6"/>
        <v/>
      </c>
      <c r="C35" s="470">
        <f>IF(D11="","-",+C34+1)</f>
        <v>2026</v>
      </c>
      <c r="D35" s="483">
        <f>IF(F34+SUM(E$17:E34)=D$10,F34,D$10-SUM(E$17:E34))</f>
        <v>939938.36276479322</v>
      </c>
      <c r="E35" s="482">
        <f>IF(+I14&lt;F34,I14,D35)</f>
        <v>38987.230769230766</v>
      </c>
      <c r="F35" s="483">
        <f t="shared" si="23"/>
        <v>900951.13199556246</v>
      </c>
      <c r="G35" s="484">
        <f t="shared" si="24"/>
        <v>148850.54995408852</v>
      </c>
      <c r="H35" s="453">
        <f t="shared" si="25"/>
        <v>148850.54995408852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 ht="12.5">
      <c r="B36" s="160" t="str">
        <f t="shared" si="6"/>
        <v/>
      </c>
      <c r="C36" s="470">
        <f>IF(D11="","-",+C35+1)</f>
        <v>2027</v>
      </c>
      <c r="D36" s="483">
        <f>IF(F35+SUM(E$17:E35)=D$10,F35,D$10-SUM(E$17:E35))</f>
        <v>900951.13199556246</v>
      </c>
      <c r="E36" s="482">
        <f>IF(+I14&lt;F35,I14,D36)</f>
        <v>38987.230769230766</v>
      </c>
      <c r="F36" s="483">
        <f t="shared" si="23"/>
        <v>861963.90122633171</v>
      </c>
      <c r="G36" s="484">
        <f t="shared" si="24"/>
        <v>144197.0750004588</v>
      </c>
      <c r="H36" s="453">
        <f t="shared" si="25"/>
        <v>144197.0750004588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 ht="12.5">
      <c r="B37" s="160" t="str">
        <f t="shared" si="6"/>
        <v/>
      </c>
      <c r="C37" s="470">
        <f>IF(D11="","-",+C36+1)</f>
        <v>2028</v>
      </c>
      <c r="D37" s="483">
        <f>IF(F36+SUM(E$17:E36)=D$10,F36,D$10-SUM(E$17:E36))</f>
        <v>861963.90122633171</v>
      </c>
      <c r="E37" s="482">
        <f>IF(+I14&lt;F36,I14,D37)</f>
        <v>38987.230769230766</v>
      </c>
      <c r="F37" s="483">
        <f t="shared" si="23"/>
        <v>822976.67045710096</v>
      </c>
      <c r="G37" s="484">
        <f t="shared" si="24"/>
        <v>139543.60004682906</v>
      </c>
      <c r="H37" s="453">
        <f t="shared" si="25"/>
        <v>139543.60004682906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 ht="12.5">
      <c r="B38" s="160" t="str">
        <f t="shared" si="6"/>
        <v/>
      </c>
      <c r="C38" s="470">
        <f>IF(D11="","-",+C37+1)</f>
        <v>2029</v>
      </c>
      <c r="D38" s="483">
        <f>IF(F37+SUM(E$17:E37)=D$10,F37,D$10-SUM(E$17:E37))</f>
        <v>822976.67045710096</v>
      </c>
      <c r="E38" s="482">
        <f>IF(+I14&lt;F37,I14,D38)</f>
        <v>38987.230769230766</v>
      </c>
      <c r="F38" s="483">
        <f t="shared" si="23"/>
        <v>783989.43968787021</v>
      </c>
      <c r="G38" s="484">
        <f t="shared" si="24"/>
        <v>134890.12509319931</v>
      </c>
      <c r="H38" s="453">
        <f t="shared" si="25"/>
        <v>134890.12509319931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 ht="12.5">
      <c r="B39" s="160" t="str">
        <f t="shared" si="6"/>
        <v/>
      </c>
      <c r="C39" s="470">
        <f>IF(D11="","-",+C38+1)</f>
        <v>2030</v>
      </c>
      <c r="D39" s="483">
        <f>IF(F38+SUM(E$17:E38)=D$10,F38,D$10-SUM(E$17:E38))</f>
        <v>783989.43968787021</v>
      </c>
      <c r="E39" s="482">
        <f>IF(+I14&lt;F38,I14,D39)</f>
        <v>38987.230769230766</v>
      </c>
      <c r="F39" s="483">
        <f t="shared" si="23"/>
        <v>745002.20891863946</v>
      </c>
      <c r="G39" s="484">
        <f t="shared" si="24"/>
        <v>130236.6501395696</v>
      </c>
      <c r="H39" s="453">
        <f t="shared" si="25"/>
        <v>130236.6501395696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 ht="12.5">
      <c r="B40" s="160" t="str">
        <f t="shared" si="6"/>
        <v/>
      </c>
      <c r="C40" s="470">
        <f>IF(D11="","-",+C39+1)</f>
        <v>2031</v>
      </c>
      <c r="D40" s="483">
        <f>IF(F39+SUM(E$17:E39)=D$10,F39,D$10-SUM(E$17:E39))</f>
        <v>745002.20891863946</v>
      </c>
      <c r="E40" s="482">
        <f>IF(+I14&lt;F39,I14,D40)</f>
        <v>38987.230769230766</v>
      </c>
      <c r="F40" s="483">
        <f t="shared" si="23"/>
        <v>706014.97814940871</v>
      </c>
      <c r="G40" s="484">
        <f t="shared" si="24"/>
        <v>125583.17518593986</v>
      </c>
      <c r="H40" s="453">
        <f t="shared" si="25"/>
        <v>125583.17518593986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 ht="12.5">
      <c r="B41" s="160" t="str">
        <f t="shared" si="6"/>
        <v/>
      </c>
      <c r="C41" s="470">
        <f>IF(D11="","-",+C40+1)</f>
        <v>2032</v>
      </c>
      <c r="D41" s="483">
        <f>IF(F40+SUM(E$17:E40)=D$10,F40,D$10-SUM(E$17:E40))</f>
        <v>706014.97814940871</v>
      </c>
      <c r="E41" s="482">
        <f>IF(+I14&lt;F40,I14,D41)</f>
        <v>38987.230769230766</v>
      </c>
      <c r="F41" s="483">
        <f t="shared" si="23"/>
        <v>667027.74738017796</v>
      </c>
      <c r="G41" s="484">
        <f t="shared" si="24"/>
        <v>120929.70023231013</v>
      </c>
      <c r="H41" s="453">
        <f t="shared" si="25"/>
        <v>120929.70023231013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 ht="12.5">
      <c r="B42" s="160" t="str">
        <f t="shared" si="6"/>
        <v/>
      </c>
      <c r="C42" s="470">
        <f>IF(D11="","-",+C41+1)</f>
        <v>2033</v>
      </c>
      <c r="D42" s="483">
        <f>IF(F41+SUM(E$17:E41)=D$10,F41,D$10-SUM(E$17:E41))</f>
        <v>667027.74738017796</v>
      </c>
      <c r="E42" s="482">
        <f>IF(+I14&lt;F41,I14,D42)</f>
        <v>38987.230769230766</v>
      </c>
      <c r="F42" s="483">
        <f t="shared" si="23"/>
        <v>628040.5166109472</v>
      </c>
      <c r="G42" s="484">
        <f t="shared" si="24"/>
        <v>116276.22527868039</v>
      </c>
      <c r="H42" s="453">
        <f t="shared" si="25"/>
        <v>116276.22527868039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 ht="12.5">
      <c r="B43" s="160" t="str">
        <f t="shared" si="6"/>
        <v/>
      </c>
      <c r="C43" s="470">
        <f>IF(D11="","-",+C42+1)</f>
        <v>2034</v>
      </c>
      <c r="D43" s="483">
        <f>IF(F42+SUM(E$17:E42)=D$10,F42,D$10-SUM(E$17:E42))</f>
        <v>628040.5166109472</v>
      </c>
      <c r="E43" s="482">
        <f>IF(+I14&lt;F42,I14,D43)</f>
        <v>38987.230769230766</v>
      </c>
      <c r="F43" s="483">
        <f t="shared" si="23"/>
        <v>589053.28584171645</v>
      </c>
      <c r="G43" s="484">
        <f t="shared" si="24"/>
        <v>111622.75032505066</v>
      </c>
      <c r="H43" s="453">
        <f t="shared" si="25"/>
        <v>111622.75032505066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 ht="12.5">
      <c r="B44" s="160" t="str">
        <f t="shared" si="6"/>
        <v/>
      </c>
      <c r="C44" s="470">
        <f>IF(D11="","-",+C43+1)</f>
        <v>2035</v>
      </c>
      <c r="D44" s="483">
        <f>IF(F43+SUM(E$17:E43)=D$10,F43,D$10-SUM(E$17:E43))</f>
        <v>589053.28584171645</v>
      </c>
      <c r="E44" s="482">
        <f>IF(+I14&lt;F43,I14,D44)</f>
        <v>38987.230769230766</v>
      </c>
      <c r="F44" s="483">
        <f t="shared" si="23"/>
        <v>550066.0550724857</v>
      </c>
      <c r="G44" s="484">
        <f t="shared" si="24"/>
        <v>106969.27537142092</v>
      </c>
      <c r="H44" s="453">
        <f t="shared" si="25"/>
        <v>106969.27537142092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 ht="12.5">
      <c r="B45" s="160" t="str">
        <f t="shared" si="6"/>
        <v/>
      </c>
      <c r="C45" s="470">
        <f>IF(D11="","-",+C44+1)</f>
        <v>2036</v>
      </c>
      <c r="D45" s="483">
        <f>IF(F44+SUM(E$17:E44)=D$10,F44,D$10-SUM(E$17:E44))</f>
        <v>550066.0550724857</v>
      </c>
      <c r="E45" s="482">
        <f>IF(+I14&lt;F44,I14,D45)</f>
        <v>38987.230769230766</v>
      </c>
      <c r="F45" s="483">
        <f t="shared" si="23"/>
        <v>511078.82430325495</v>
      </c>
      <c r="G45" s="484">
        <f t="shared" si="24"/>
        <v>102315.80041779118</v>
      </c>
      <c r="H45" s="453">
        <f t="shared" si="25"/>
        <v>102315.80041779118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 ht="12.5">
      <c r="B46" s="160" t="str">
        <f t="shared" si="6"/>
        <v/>
      </c>
      <c r="C46" s="470">
        <f>IF(D11="","-",+C45+1)</f>
        <v>2037</v>
      </c>
      <c r="D46" s="483">
        <f>IF(F45+SUM(E$17:E45)=D$10,F45,D$10-SUM(E$17:E45))</f>
        <v>511078.82430325495</v>
      </c>
      <c r="E46" s="482">
        <f>IF(+I14&lt;F45,I14,D46)</f>
        <v>38987.230769230766</v>
      </c>
      <c r="F46" s="483">
        <f t="shared" si="23"/>
        <v>472091.5935340242</v>
      </c>
      <c r="G46" s="484">
        <f t="shared" si="24"/>
        <v>97662.325464161462</v>
      </c>
      <c r="H46" s="453">
        <f t="shared" si="25"/>
        <v>97662.325464161462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 ht="12.5">
      <c r="B47" s="160" t="str">
        <f t="shared" si="6"/>
        <v/>
      </c>
      <c r="C47" s="470">
        <f>IF(D11="","-",+C46+1)</f>
        <v>2038</v>
      </c>
      <c r="D47" s="483">
        <f>IF(F46+SUM(E$17:E46)=D$10,F46,D$10-SUM(E$17:E46))</f>
        <v>472091.5935340242</v>
      </c>
      <c r="E47" s="482">
        <f>IF(+I14&lt;F46,I14,D47)</f>
        <v>38987.230769230766</v>
      </c>
      <c r="F47" s="483">
        <f t="shared" si="23"/>
        <v>433104.36276479345</v>
      </c>
      <c r="G47" s="484">
        <f t="shared" si="24"/>
        <v>93008.850510531716</v>
      </c>
      <c r="H47" s="453">
        <f t="shared" si="25"/>
        <v>93008.850510531716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 ht="12.5">
      <c r="B48" s="160" t="str">
        <f t="shared" si="6"/>
        <v/>
      </c>
      <c r="C48" s="470">
        <f>IF(D11="","-",+C47+1)</f>
        <v>2039</v>
      </c>
      <c r="D48" s="483">
        <f>IF(F47+SUM(E$17:E47)=D$10,F47,D$10-SUM(E$17:E47))</f>
        <v>433104.36276479345</v>
      </c>
      <c r="E48" s="482">
        <f>IF(+I14&lt;F47,I14,D48)</f>
        <v>38987.230769230766</v>
      </c>
      <c r="F48" s="483">
        <f t="shared" si="23"/>
        <v>394117.1319955627</v>
      </c>
      <c r="G48" s="484">
        <f t="shared" si="24"/>
        <v>88355.375556901985</v>
      </c>
      <c r="H48" s="453">
        <f t="shared" si="25"/>
        <v>88355.375556901985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 ht="12.5">
      <c r="B49" s="160" t="str">
        <f t="shared" si="6"/>
        <v/>
      </c>
      <c r="C49" s="470">
        <f>IF(D11="","-",+C48+1)</f>
        <v>2040</v>
      </c>
      <c r="D49" s="483">
        <f>IF(F48+SUM(E$17:E48)=D$10,F48,D$10-SUM(E$17:E48))</f>
        <v>394117.1319955627</v>
      </c>
      <c r="E49" s="482">
        <f>IF(+I14&lt;F48,I14,D49)</f>
        <v>38987.230769230766</v>
      </c>
      <c r="F49" s="483">
        <f t="shared" ref="F49:F72" si="26">+D49-E49</f>
        <v>355129.90122633195</v>
      </c>
      <c r="G49" s="484">
        <f t="shared" si="24"/>
        <v>83701.900603272254</v>
      </c>
      <c r="H49" s="453">
        <f t="shared" si="25"/>
        <v>83701.900603272254</v>
      </c>
      <c r="I49" s="473">
        <f t="shared" ref="I49:I72" si="27">H49-G49</f>
        <v>0</v>
      </c>
      <c r="J49" s="473"/>
      <c r="K49" s="485"/>
      <c r="L49" s="476">
        <f t="shared" ref="L49:L72" si="28">IF(K49&lt;&gt;0,+G49-K49,0)</f>
        <v>0</v>
      </c>
      <c r="M49" s="485"/>
      <c r="N49" s="476">
        <f t="shared" ref="N49:N72" si="29">IF(M49&lt;&gt;0,+H49-M49,0)</f>
        <v>0</v>
      </c>
      <c r="O49" s="476">
        <f t="shared" ref="O49:O72" si="30">+N49-L49</f>
        <v>0</v>
      </c>
      <c r="P49" s="241"/>
    </row>
    <row r="50" spans="2:16" ht="12.5">
      <c r="B50" s="160" t="str">
        <f t="shared" si="6"/>
        <v/>
      </c>
      <c r="C50" s="470">
        <f>IF(D11="","-",+C49+1)</f>
        <v>2041</v>
      </c>
      <c r="D50" s="483">
        <f>IF(F49+SUM(E$17:E49)=D$10,F49,D$10-SUM(E$17:E49))</f>
        <v>355129.90122633195</v>
      </c>
      <c r="E50" s="482">
        <f>IF(+I14&lt;F49,I14,D50)</f>
        <v>38987.230769230766</v>
      </c>
      <c r="F50" s="483">
        <f t="shared" si="26"/>
        <v>316142.67045710119</v>
      </c>
      <c r="G50" s="484">
        <f t="shared" si="24"/>
        <v>79048.425649642508</v>
      </c>
      <c r="H50" s="453">
        <f t="shared" si="25"/>
        <v>79048.425649642508</v>
      </c>
      <c r="I50" s="473">
        <f t="shared" si="27"/>
        <v>0</v>
      </c>
      <c r="J50" s="473"/>
      <c r="K50" s="485"/>
      <c r="L50" s="476">
        <f t="shared" si="28"/>
        <v>0</v>
      </c>
      <c r="M50" s="485"/>
      <c r="N50" s="476">
        <f t="shared" si="29"/>
        <v>0</v>
      </c>
      <c r="O50" s="476">
        <f t="shared" si="30"/>
        <v>0</v>
      </c>
      <c r="P50" s="241"/>
    </row>
    <row r="51" spans="2:16" ht="12.5">
      <c r="B51" s="160" t="str">
        <f t="shared" si="6"/>
        <v/>
      </c>
      <c r="C51" s="470">
        <f>IF(D11="","-",+C50+1)</f>
        <v>2042</v>
      </c>
      <c r="D51" s="483">
        <f>IF(F50+SUM(E$17:E50)=D$10,F50,D$10-SUM(E$17:E50))</f>
        <v>316142.67045710119</v>
      </c>
      <c r="E51" s="482">
        <f>IF(+I14&lt;F50,I14,D51)</f>
        <v>38987.230769230766</v>
      </c>
      <c r="F51" s="483">
        <f t="shared" si="26"/>
        <v>277155.43968787044</v>
      </c>
      <c r="G51" s="484">
        <f t="shared" si="24"/>
        <v>74394.950696012776</v>
      </c>
      <c r="H51" s="453">
        <f t="shared" si="25"/>
        <v>74394.950696012776</v>
      </c>
      <c r="I51" s="473">
        <f t="shared" si="27"/>
        <v>0</v>
      </c>
      <c r="J51" s="473"/>
      <c r="K51" s="485"/>
      <c r="L51" s="476">
        <f t="shared" si="28"/>
        <v>0</v>
      </c>
      <c r="M51" s="485"/>
      <c r="N51" s="476">
        <f t="shared" si="29"/>
        <v>0</v>
      </c>
      <c r="O51" s="476">
        <f t="shared" si="30"/>
        <v>0</v>
      </c>
      <c r="P51" s="241"/>
    </row>
    <row r="52" spans="2:16" ht="12.5">
      <c r="B52" s="160" t="str">
        <f t="shared" si="6"/>
        <v/>
      </c>
      <c r="C52" s="470">
        <f>IF(D11="","-",+C51+1)</f>
        <v>2043</v>
      </c>
      <c r="D52" s="483">
        <f>IF(F51+SUM(E$17:E51)=D$10,F51,D$10-SUM(E$17:E51))</f>
        <v>277155.43968787044</v>
      </c>
      <c r="E52" s="482">
        <f>IF(+I14&lt;F51,I14,D52)</f>
        <v>38987.230769230766</v>
      </c>
      <c r="F52" s="483">
        <f t="shared" si="26"/>
        <v>238168.20891863969</v>
      </c>
      <c r="G52" s="484">
        <f t="shared" si="24"/>
        <v>69741.475742383045</v>
      </c>
      <c r="H52" s="453">
        <f t="shared" si="25"/>
        <v>69741.475742383045</v>
      </c>
      <c r="I52" s="473">
        <f t="shared" si="27"/>
        <v>0</v>
      </c>
      <c r="J52" s="473"/>
      <c r="K52" s="485"/>
      <c r="L52" s="476">
        <f t="shared" si="28"/>
        <v>0</v>
      </c>
      <c r="M52" s="485"/>
      <c r="N52" s="476">
        <f t="shared" si="29"/>
        <v>0</v>
      </c>
      <c r="O52" s="476">
        <f t="shared" si="30"/>
        <v>0</v>
      </c>
      <c r="P52" s="241"/>
    </row>
    <row r="53" spans="2:16" ht="12.5">
      <c r="B53" s="160" t="str">
        <f t="shared" si="6"/>
        <v/>
      </c>
      <c r="C53" s="470">
        <f>IF(D11="","-",+C52+1)</f>
        <v>2044</v>
      </c>
      <c r="D53" s="483">
        <f>IF(F52+SUM(E$17:E52)=D$10,F52,D$10-SUM(E$17:E52))</f>
        <v>238168.20891863969</v>
      </c>
      <c r="E53" s="482">
        <f>IF(+I14&lt;F52,I14,D53)</f>
        <v>38987.230769230766</v>
      </c>
      <c r="F53" s="483">
        <f t="shared" si="26"/>
        <v>199180.97814940894</v>
      </c>
      <c r="G53" s="484">
        <f t="shared" si="24"/>
        <v>65088.000788753314</v>
      </c>
      <c r="H53" s="453">
        <f t="shared" si="25"/>
        <v>65088.000788753314</v>
      </c>
      <c r="I53" s="473">
        <f t="shared" si="27"/>
        <v>0</v>
      </c>
      <c r="J53" s="473"/>
      <c r="K53" s="485"/>
      <c r="L53" s="476">
        <f t="shared" si="28"/>
        <v>0</v>
      </c>
      <c r="M53" s="485"/>
      <c r="N53" s="476">
        <f t="shared" si="29"/>
        <v>0</v>
      </c>
      <c r="O53" s="476">
        <f t="shared" si="30"/>
        <v>0</v>
      </c>
      <c r="P53" s="241"/>
    </row>
    <row r="54" spans="2:16" ht="12.5">
      <c r="B54" s="160" t="str">
        <f t="shared" si="6"/>
        <v/>
      </c>
      <c r="C54" s="470">
        <f>IF(D11="","-",+C53+1)</f>
        <v>2045</v>
      </c>
      <c r="D54" s="483">
        <f>IF(F53+SUM(E$17:E53)=D$10,F53,D$10-SUM(E$17:E53))</f>
        <v>199180.97814940894</v>
      </c>
      <c r="E54" s="482">
        <f>IF(+I14&lt;F53,I14,D54)</f>
        <v>38987.230769230766</v>
      </c>
      <c r="F54" s="483">
        <f t="shared" si="26"/>
        <v>160193.74738017819</v>
      </c>
      <c r="G54" s="484">
        <f t="shared" si="24"/>
        <v>60434.525835123575</v>
      </c>
      <c r="H54" s="453">
        <f t="shared" si="25"/>
        <v>60434.525835123575</v>
      </c>
      <c r="I54" s="473">
        <f t="shared" si="27"/>
        <v>0</v>
      </c>
      <c r="J54" s="473"/>
      <c r="K54" s="485"/>
      <c r="L54" s="476">
        <f t="shared" si="28"/>
        <v>0</v>
      </c>
      <c r="M54" s="485"/>
      <c r="N54" s="476">
        <f t="shared" si="29"/>
        <v>0</v>
      </c>
      <c r="O54" s="476">
        <f t="shared" si="30"/>
        <v>0</v>
      </c>
      <c r="P54" s="241"/>
    </row>
    <row r="55" spans="2:16" ht="12.5">
      <c r="B55" s="160" t="str">
        <f t="shared" si="6"/>
        <v/>
      </c>
      <c r="C55" s="470">
        <f>IF(D11="","-",+C54+1)</f>
        <v>2046</v>
      </c>
      <c r="D55" s="483">
        <f>IF(F54+SUM(E$17:E54)=D$10,F54,D$10-SUM(E$17:E54))</f>
        <v>160193.74738017819</v>
      </c>
      <c r="E55" s="482">
        <f>IF(+I14&lt;F54,I14,D55)</f>
        <v>38987.230769230766</v>
      </c>
      <c r="F55" s="483">
        <f t="shared" si="26"/>
        <v>121206.51661094742</v>
      </c>
      <c r="G55" s="484">
        <f t="shared" si="24"/>
        <v>55781.050881493837</v>
      </c>
      <c r="H55" s="453">
        <f t="shared" si="25"/>
        <v>55781.050881493837</v>
      </c>
      <c r="I55" s="473">
        <f t="shared" si="27"/>
        <v>0</v>
      </c>
      <c r="J55" s="473"/>
      <c r="K55" s="485"/>
      <c r="L55" s="476">
        <f t="shared" si="28"/>
        <v>0</v>
      </c>
      <c r="M55" s="485"/>
      <c r="N55" s="476">
        <f t="shared" si="29"/>
        <v>0</v>
      </c>
      <c r="O55" s="476">
        <f t="shared" si="30"/>
        <v>0</v>
      </c>
      <c r="P55" s="241"/>
    </row>
    <row r="56" spans="2:16" ht="12.5">
      <c r="B56" s="160" t="str">
        <f t="shared" si="6"/>
        <v/>
      </c>
      <c r="C56" s="470">
        <f>IF(D11="","-",+C55+1)</f>
        <v>2047</v>
      </c>
      <c r="D56" s="483">
        <f>IF(F55+SUM(E$17:E55)=D$10,F55,D$10-SUM(E$17:E55))</f>
        <v>121206.51661094742</v>
      </c>
      <c r="E56" s="482">
        <f>IF(+I14&lt;F55,I14,D56)</f>
        <v>38987.230769230766</v>
      </c>
      <c r="F56" s="483">
        <f t="shared" si="26"/>
        <v>82219.285841716657</v>
      </c>
      <c r="G56" s="484">
        <f t="shared" si="24"/>
        <v>51127.575927864105</v>
      </c>
      <c r="H56" s="453">
        <f t="shared" si="25"/>
        <v>51127.575927864105</v>
      </c>
      <c r="I56" s="473">
        <f t="shared" si="27"/>
        <v>0</v>
      </c>
      <c r="J56" s="473"/>
      <c r="K56" s="485"/>
      <c r="L56" s="476">
        <f t="shared" si="28"/>
        <v>0</v>
      </c>
      <c r="M56" s="485"/>
      <c r="N56" s="476">
        <f t="shared" si="29"/>
        <v>0</v>
      </c>
      <c r="O56" s="476">
        <f t="shared" si="30"/>
        <v>0</v>
      </c>
      <c r="P56" s="241"/>
    </row>
    <row r="57" spans="2:16" ht="12.5">
      <c r="B57" s="160" t="str">
        <f t="shared" si="6"/>
        <v/>
      </c>
      <c r="C57" s="470">
        <f>IF(D11="","-",+C56+1)</f>
        <v>2048</v>
      </c>
      <c r="D57" s="483">
        <f>IF(F56+SUM(E$17:E56)=D$10,F56,D$10-SUM(E$17:E56))</f>
        <v>82219.285841716657</v>
      </c>
      <c r="E57" s="482">
        <f>IF(+I14&lt;F56,I14,D57)</f>
        <v>38987.230769230766</v>
      </c>
      <c r="F57" s="483">
        <f t="shared" si="26"/>
        <v>43232.055072485891</v>
      </c>
      <c r="G57" s="484">
        <f t="shared" si="24"/>
        <v>46474.100974234367</v>
      </c>
      <c r="H57" s="453">
        <f t="shared" si="25"/>
        <v>46474.100974234367</v>
      </c>
      <c r="I57" s="473">
        <f t="shared" si="27"/>
        <v>0</v>
      </c>
      <c r="J57" s="473"/>
      <c r="K57" s="485"/>
      <c r="L57" s="476">
        <f t="shared" si="28"/>
        <v>0</v>
      </c>
      <c r="M57" s="485"/>
      <c r="N57" s="476">
        <f t="shared" si="29"/>
        <v>0</v>
      </c>
      <c r="O57" s="476">
        <f t="shared" si="30"/>
        <v>0</v>
      </c>
      <c r="P57" s="241"/>
    </row>
    <row r="58" spans="2:16" ht="12.5">
      <c r="B58" s="160" t="str">
        <f t="shared" si="6"/>
        <v/>
      </c>
      <c r="C58" s="470">
        <f>IF(D11="","-",+C57+1)</f>
        <v>2049</v>
      </c>
      <c r="D58" s="483">
        <f>IF(F57+SUM(E$17:E57)=D$10,F57,D$10-SUM(E$17:E57))</f>
        <v>43232.055072485891</v>
      </c>
      <c r="E58" s="482">
        <f>IF(+I14&lt;F57,I14,D58)</f>
        <v>38987.230769230766</v>
      </c>
      <c r="F58" s="483">
        <f t="shared" si="26"/>
        <v>4244.8243032551254</v>
      </c>
      <c r="G58" s="484">
        <f t="shared" si="24"/>
        <v>41820.626020604628</v>
      </c>
      <c r="H58" s="453">
        <f t="shared" si="25"/>
        <v>41820.626020604628</v>
      </c>
      <c r="I58" s="473">
        <f t="shared" si="27"/>
        <v>0</v>
      </c>
      <c r="J58" s="473"/>
      <c r="K58" s="485"/>
      <c r="L58" s="476">
        <f t="shared" si="28"/>
        <v>0</v>
      </c>
      <c r="M58" s="485"/>
      <c r="N58" s="476">
        <f t="shared" si="29"/>
        <v>0</v>
      </c>
      <c r="O58" s="476">
        <f t="shared" si="30"/>
        <v>0</v>
      </c>
      <c r="P58" s="241"/>
    </row>
    <row r="59" spans="2:16" ht="12.5">
      <c r="B59" s="160" t="str">
        <f t="shared" si="6"/>
        <v/>
      </c>
      <c r="C59" s="470">
        <f>IF(D11="","-",+C58+1)</f>
        <v>2050</v>
      </c>
      <c r="D59" s="483">
        <f>IF(F58+SUM(E$17:E58)=D$10,F58,D$10-SUM(E$17:E58))</f>
        <v>4244.8243032551254</v>
      </c>
      <c r="E59" s="482">
        <f>IF(+I14&lt;F58,I14,D59)</f>
        <v>4244.8243032551254</v>
      </c>
      <c r="F59" s="483">
        <f t="shared" si="26"/>
        <v>0</v>
      </c>
      <c r="G59" s="484">
        <f t="shared" si="24"/>
        <v>4498.1531905346237</v>
      </c>
      <c r="H59" s="453">
        <f t="shared" si="25"/>
        <v>4498.1531905346237</v>
      </c>
      <c r="I59" s="473">
        <f t="shared" si="27"/>
        <v>0</v>
      </c>
      <c r="J59" s="473"/>
      <c r="K59" s="485"/>
      <c r="L59" s="476">
        <f t="shared" si="28"/>
        <v>0</v>
      </c>
      <c r="M59" s="485"/>
      <c r="N59" s="476">
        <f t="shared" si="29"/>
        <v>0</v>
      </c>
      <c r="O59" s="476">
        <f t="shared" si="30"/>
        <v>0</v>
      </c>
      <c r="P59" s="241"/>
    </row>
    <row r="60" spans="2:16" ht="12.5">
      <c r="B60" s="160" t="str">
        <f t="shared" si="6"/>
        <v/>
      </c>
      <c r="C60" s="470">
        <f>IF(D11="","-",+C59+1)</f>
        <v>2051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6"/>
        <v>0</v>
      </c>
      <c r="G60" s="484">
        <f t="shared" si="24"/>
        <v>0</v>
      </c>
      <c r="H60" s="453">
        <f t="shared" si="25"/>
        <v>0</v>
      </c>
      <c r="I60" s="473">
        <f t="shared" si="27"/>
        <v>0</v>
      </c>
      <c r="J60" s="473"/>
      <c r="K60" s="485"/>
      <c r="L60" s="476">
        <f t="shared" si="28"/>
        <v>0</v>
      </c>
      <c r="M60" s="485"/>
      <c r="N60" s="476">
        <f t="shared" si="29"/>
        <v>0</v>
      </c>
      <c r="O60" s="476">
        <f t="shared" si="30"/>
        <v>0</v>
      </c>
      <c r="P60" s="241"/>
    </row>
    <row r="61" spans="2:16" ht="12.5">
      <c r="B61" s="160" t="str">
        <f t="shared" si="6"/>
        <v/>
      </c>
      <c r="C61" s="470">
        <f>IF(D11="","-",+C60+1)</f>
        <v>2052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6"/>
        <v>0</v>
      </c>
      <c r="G61" s="484">
        <f t="shared" si="24"/>
        <v>0</v>
      </c>
      <c r="H61" s="453">
        <f t="shared" si="25"/>
        <v>0</v>
      </c>
      <c r="I61" s="473">
        <f t="shared" si="27"/>
        <v>0</v>
      </c>
      <c r="J61" s="473"/>
      <c r="K61" s="485"/>
      <c r="L61" s="476">
        <f t="shared" si="28"/>
        <v>0</v>
      </c>
      <c r="M61" s="485"/>
      <c r="N61" s="476">
        <f t="shared" si="29"/>
        <v>0</v>
      </c>
      <c r="O61" s="476">
        <f t="shared" si="30"/>
        <v>0</v>
      </c>
      <c r="P61" s="241"/>
    </row>
    <row r="62" spans="2:16" ht="12.5">
      <c r="B62" s="160" t="str">
        <f t="shared" si="6"/>
        <v/>
      </c>
      <c r="C62" s="470">
        <f>IF(D11="","-",+C61+1)</f>
        <v>2053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6"/>
        <v>0</v>
      </c>
      <c r="G62" s="484">
        <f t="shared" si="24"/>
        <v>0</v>
      </c>
      <c r="H62" s="453">
        <f t="shared" si="25"/>
        <v>0</v>
      </c>
      <c r="I62" s="473">
        <f t="shared" si="27"/>
        <v>0</v>
      </c>
      <c r="J62" s="473"/>
      <c r="K62" s="485"/>
      <c r="L62" s="476">
        <f t="shared" si="28"/>
        <v>0</v>
      </c>
      <c r="M62" s="485"/>
      <c r="N62" s="476">
        <f t="shared" si="29"/>
        <v>0</v>
      </c>
      <c r="O62" s="476">
        <f t="shared" si="30"/>
        <v>0</v>
      </c>
      <c r="P62" s="241"/>
    </row>
    <row r="63" spans="2:16" ht="12.5">
      <c r="B63" s="160" t="str">
        <f t="shared" si="6"/>
        <v/>
      </c>
      <c r="C63" s="470">
        <f>IF(D11="","-",+C62+1)</f>
        <v>2054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6"/>
        <v>0</v>
      </c>
      <c r="G63" s="484">
        <f t="shared" si="24"/>
        <v>0</v>
      </c>
      <c r="H63" s="453">
        <f t="shared" si="25"/>
        <v>0</v>
      </c>
      <c r="I63" s="473">
        <f t="shared" si="27"/>
        <v>0</v>
      </c>
      <c r="J63" s="473"/>
      <c r="K63" s="485"/>
      <c r="L63" s="476">
        <f t="shared" si="28"/>
        <v>0</v>
      </c>
      <c r="M63" s="485"/>
      <c r="N63" s="476">
        <f t="shared" si="29"/>
        <v>0</v>
      </c>
      <c r="O63" s="476">
        <f t="shared" si="30"/>
        <v>0</v>
      </c>
      <c r="P63" s="241"/>
    </row>
    <row r="64" spans="2:16" ht="12.5">
      <c r="B64" s="160" t="str">
        <f t="shared" si="6"/>
        <v/>
      </c>
      <c r="C64" s="470">
        <f>IF(D11="","-",+C63+1)</f>
        <v>2055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6"/>
        <v>0</v>
      </c>
      <c r="G64" s="484">
        <f t="shared" si="24"/>
        <v>0</v>
      </c>
      <c r="H64" s="453">
        <f t="shared" si="25"/>
        <v>0</v>
      </c>
      <c r="I64" s="473">
        <f t="shared" si="27"/>
        <v>0</v>
      </c>
      <c r="J64" s="473"/>
      <c r="K64" s="485"/>
      <c r="L64" s="476">
        <f t="shared" si="28"/>
        <v>0</v>
      </c>
      <c r="M64" s="485"/>
      <c r="N64" s="476">
        <f t="shared" si="29"/>
        <v>0</v>
      </c>
      <c r="O64" s="476">
        <f t="shared" si="30"/>
        <v>0</v>
      </c>
      <c r="P64" s="241"/>
    </row>
    <row r="65" spans="2:16" ht="12.5">
      <c r="B65" s="160" t="str">
        <f t="shared" si="6"/>
        <v/>
      </c>
      <c r="C65" s="470">
        <f>IF(D11="","-",+C64+1)</f>
        <v>2056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6"/>
        <v>0</v>
      </c>
      <c r="G65" s="484">
        <f t="shared" si="24"/>
        <v>0</v>
      </c>
      <c r="H65" s="453">
        <f t="shared" si="25"/>
        <v>0</v>
      </c>
      <c r="I65" s="473">
        <f t="shared" si="27"/>
        <v>0</v>
      </c>
      <c r="J65" s="473"/>
      <c r="K65" s="485"/>
      <c r="L65" s="476">
        <f t="shared" si="28"/>
        <v>0</v>
      </c>
      <c r="M65" s="485"/>
      <c r="N65" s="476">
        <f t="shared" si="29"/>
        <v>0</v>
      </c>
      <c r="O65" s="476">
        <f t="shared" si="30"/>
        <v>0</v>
      </c>
      <c r="P65" s="241"/>
    </row>
    <row r="66" spans="2:16" ht="12.5">
      <c r="B66" s="160" t="str">
        <f t="shared" si="6"/>
        <v/>
      </c>
      <c r="C66" s="470">
        <f>IF(D11="","-",+C65+1)</f>
        <v>2057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6"/>
        <v>0</v>
      </c>
      <c r="G66" s="484">
        <f t="shared" si="24"/>
        <v>0</v>
      </c>
      <c r="H66" s="453">
        <f t="shared" si="25"/>
        <v>0</v>
      </c>
      <c r="I66" s="473">
        <f t="shared" si="27"/>
        <v>0</v>
      </c>
      <c r="J66" s="473"/>
      <c r="K66" s="485"/>
      <c r="L66" s="476">
        <f t="shared" si="28"/>
        <v>0</v>
      </c>
      <c r="M66" s="485"/>
      <c r="N66" s="476">
        <f t="shared" si="29"/>
        <v>0</v>
      </c>
      <c r="O66" s="476">
        <f t="shared" si="30"/>
        <v>0</v>
      </c>
      <c r="P66" s="241"/>
    </row>
    <row r="67" spans="2:16" ht="12.5">
      <c r="B67" s="160" t="str">
        <f t="shared" si="6"/>
        <v/>
      </c>
      <c r="C67" s="470">
        <f>IF(D11="","-",+C66+1)</f>
        <v>2058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6"/>
        <v>0</v>
      </c>
      <c r="G67" s="484">
        <f t="shared" si="24"/>
        <v>0</v>
      </c>
      <c r="H67" s="453">
        <f t="shared" si="25"/>
        <v>0</v>
      </c>
      <c r="I67" s="473">
        <f t="shared" si="27"/>
        <v>0</v>
      </c>
      <c r="J67" s="473"/>
      <c r="K67" s="485"/>
      <c r="L67" s="476">
        <f t="shared" si="28"/>
        <v>0</v>
      </c>
      <c r="M67" s="485"/>
      <c r="N67" s="476">
        <f t="shared" si="29"/>
        <v>0</v>
      </c>
      <c r="O67" s="476">
        <f t="shared" si="30"/>
        <v>0</v>
      </c>
      <c r="P67" s="241"/>
    </row>
    <row r="68" spans="2:16" ht="12.5">
      <c r="B68" s="160" t="str">
        <f t="shared" si="6"/>
        <v/>
      </c>
      <c r="C68" s="470">
        <f>IF(D11="","-",+C67+1)</f>
        <v>2059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6"/>
        <v>0</v>
      </c>
      <c r="G68" s="484">
        <f t="shared" si="24"/>
        <v>0</v>
      </c>
      <c r="H68" s="453">
        <f t="shared" si="25"/>
        <v>0</v>
      </c>
      <c r="I68" s="473">
        <f t="shared" si="27"/>
        <v>0</v>
      </c>
      <c r="J68" s="473"/>
      <c r="K68" s="485"/>
      <c r="L68" s="476">
        <f t="shared" si="28"/>
        <v>0</v>
      </c>
      <c r="M68" s="485"/>
      <c r="N68" s="476">
        <f t="shared" si="29"/>
        <v>0</v>
      </c>
      <c r="O68" s="476">
        <f t="shared" si="30"/>
        <v>0</v>
      </c>
      <c r="P68" s="241"/>
    </row>
    <row r="69" spans="2:16" ht="12.5">
      <c r="B69" s="160" t="str">
        <f t="shared" si="6"/>
        <v/>
      </c>
      <c r="C69" s="470">
        <f>IF(D11="","-",+C68+1)</f>
        <v>2060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6"/>
        <v>0</v>
      </c>
      <c r="G69" s="484">
        <f t="shared" si="24"/>
        <v>0</v>
      </c>
      <c r="H69" s="453">
        <f t="shared" si="25"/>
        <v>0</v>
      </c>
      <c r="I69" s="473">
        <f t="shared" si="27"/>
        <v>0</v>
      </c>
      <c r="J69" s="473"/>
      <c r="K69" s="485"/>
      <c r="L69" s="476">
        <f t="shared" si="28"/>
        <v>0</v>
      </c>
      <c r="M69" s="485"/>
      <c r="N69" s="476">
        <f t="shared" si="29"/>
        <v>0</v>
      </c>
      <c r="O69" s="476">
        <f t="shared" si="30"/>
        <v>0</v>
      </c>
      <c r="P69" s="241"/>
    </row>
    <row r="70" spans="2:16" ht="12.5">
      <c r="B70" s="160" t="str">
        <f t="shared" si="6"/>
        <v/>
      </c>
      <c r="C70" s="470">
        <f>IF(D11="","-",+C69+1)</f>
        <v>2061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6"/>
        <v>0</v>
      </c>
      <c r="G70" s="484">
        <f t="shared" si="24"/>
        <v>0</v>
      </c>
      <c r="H70" s="453">
        <f t="shared" si="25"/>
        <v>0</v>
      </c>
      <c r="I70" s="473">
        <f t="shared" si="27"/>
        <v>0</v>
      </c>
      <c r="J70" s="473"/>
      <c r="K70" s="485"/>
      <c r="L70" s="476">
        <f t="shared" si="28"/>
        <v>0</v>
      </c>
      <c r="M70" s="485"/>
      <c r="N70" s="476">
        <f t="shared" si="29"/>
        <v>0</v>
      </c>
      <c r="O70" s="476">
        <f t="shared" si="30"/>
        <v>0</v>
      </c>
      <c r="P70" s="241"/>
    </row>
    <row r="71" spans="2:16" ht="12.5">
      <c r="B71" s="160" t="str">
        <f t="shared" si="6"/>
        <v/>
      </c>
      <c r="C71" s="470">
        <f>IF(D11="","-",+C70+1)</f>
        <v>2062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6"/>
        <v>0</v>
      </c>
      <c r="G71" s="484">
        <f t="shared" si="24"/>
        <v>0</v>
      </c>
      <c r="H71" s="453">
        <f t="shared" si="25"/>
        <v>0</v>
      </c>
      <c r="I71" s="473">
        <f t="shared" si="27"/>
        <v>0</v>
      </c>
      <c r="J71" s="473"/>
      <c r="K71" s="485"/>
      <c r="L71" s="476">
        <f t="shared" si="28"/>
        <v>0</v>
      </c>
      <c r="M71" s="485"/>
      <c r="N71" s="476">
        <f t="shared" si="29"/>
        <v>0</v>
      </c>
      <c r="O71" s="476">
        <f t="shared" si="30"/>
        <v>0</v>
      </c>
      <c r="P71" s="241"/>
    </row>
    <row r="72" spans="2:16" ht="13" thickBot="1">
      <c r="B72" s="160" t="str">
        <f t="shared" si="6"/>
        <v/>
      </c>
      <c r="C72" s="487">
        <f>IF(D11="","-",+C71+1)</f>
        <v>2063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6"/>
        <v>0</v>
      </c>
      <c r="G72" s="488">
        <f t="shared" si="24"/>
        <v>0</v>
      </c>
      <c r="H72" s="488">
        <f t="shared" si="25"/>
        <v>0</v>
      </c>
      <c r="I72" s="491">
        <f t="shared" si="27"/>
        <v>0</v>
      </c>
      <c r="J72" s="473"/>
      <c r="K72" s="492"/>
      <c r="L72" s="493">
        <f t="shared" si="28"/>
        <v>0</v>
      </c>
      <c r="M72" s="492"/>
      <c r="N72" s="493">
        <f t="shared" si="29"/>
        <v>0</v>
      </c>
      <c r="O72" s="493">
        <f t="shared" si="30"/>
        <v>0</v>
      </c>
      <c r="P72" s="241"/>
    </row>
    <row r="73" spans="2:16" ht="12.5">
      <c r="C73" s="345" t="s">
        <v>77</v>
      </c>
      <c r="D73" s="346"/>
      <c r="E73" s="346">
        <f>SUM(E17:E72)</f>
        <v>1520502</v>
      </c>
      <c r="F73" s="346"/>
      <c r="G73" s="346">
        <f>SUM(G17:G72)</f>
        <v>5571888.2190603092</v>
      </c>
      <c r="H73" s="346">
        <f>SUM(H17:H72)</f>
        <v>5571888.2190603092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 ht="12.5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 ht="13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 ht="13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 ht="13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 ht="13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 ht="12.5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7.5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 ht="12.5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 ht="12.5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6 of 31</v>
      </c>
    </row>
    <row r="84" spans="1:16" ht="17.5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7.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6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2023</v>
      </c>
      <c r="M86" s="501" t="s">
        <v>8</v>
      </c>
      <c r="N86" s="502" t="s">
        <v>153</v>
      </c>
      <c r="O86" s="503" t="s">
        <v>10</v>
      </c>
      <c r="P86" s="231"/>
    </row>
    <row r="87" spans="1:16" ht="15.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160484.23733816287</v>
      </c>
      <c r="N87" s="506">
        <f>IF(J92&lt;D11,0,VLOOKUP(J92,C17:O72,11))</f>
        <v>160484.23733816287</v>
      </c>
      <c r="O87" s="507">
        <f>+N87-M87</f>
        <v>0</v>
      </c>
      <c r="P87" s="231"/>
    </row>
    <row r="88" spans="1:16" ht="15.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157463.25492505005</v>
      </c>
      <c r="N88" s="510">
        <f>IF(J92&lt;D11,0,VLOOKUP(J92,C99:P154,7))</f>
        <v>157463.25492505005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Pryor Junction 138/69 Upgrade Transf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-3020.9824131128262</v>
      </c>
      <c r="N89" s="515">
        <f>+N88-N87</f>
        <v>-3020.9824131128262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TP2006090</v>
      </c>
      <c r="E91" s="520"/>
      <c r="F91" s="520"/>
      <c r="G91" s="520"/>
      <c r="H91" s="520"/>
      <c r="I91" s="520"/>
      <c r="J91" s="520"/>
      <c r="K91" s="522"/>
      <c r="P91" s="443"/>
    </row>
    <row r="92" spans="1:16" ht="13">
      <c r="C92" s="444" t="s">
        <v>226</v>
      </c>
      <c r="D92" s="445">
        <f>D10</f>
        <v>1520502</v>
      </c>
      <c r="E92" s="310" t="s">
        <v>94</v>
      </c>
      <c r="H92" s="446"/>
      <c r="I92" s="446"/>
      <c r="J92" s="447">
        <f>+'PSO.WS.G.BPU.ATRR.True-up'!M16</f>
        <v>2023</v>
      </c>
      <c r="K92" s="442"/>
      <c r="L92" s="346" t="s">
        <v>95</v>
      </c>
      <c r="P92" s="241"/>
    </row>
    <row r="93" spans="1:16" ht="12.5">
      <c r="C93" s="448" t="s">
        <v>53</v>
      </c>
      <c r="D93" s="523">
        <f>IF(D11=I10,"",D11)</f>
        <v>2008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 ht="12.5">
      <c r="C94" s="448" t="s">
        <v>55</v>
      </c>
      <c r="D94" s="524">
        <f>IF(D11=I10,"",D12)</f>
        <v>4</v>
      </c>
      <c r="E94" s="448" t="s">
        <v>56</v>
      </c>
      <c r="F94" s="446"/>
      <c r="G94" s="446"/>
      <c r="J94" s="452">
        <f>'PSO.WS.G.BPU.ATRR.True-up'!$F$81</f>
        <v>0.11422705305545768</v>
      </c>
      <c r="K94" s="395"/>
      <c r="L94" s="148" t="s">
        <v>96</v>
      </c>
      <c r="P94" s="241"/>
    </row>
    <row r="95" spans="1:16" ht="12.5">
      <c r="C95" s="448" t="s">
        <v>58</v>
      </c>
      <c r="D95" s="450">
        <f>'PSO.WS.G.BPU.ATRR.True-up'!F$93</f>
        <v>38</v>
      </c>
      <c r="E95" s="448" t="s">
        <v>59</v>
      </c>
      <c r="F95" s="446"/>
      <c r="G95" s="446"/>
      <c r="J95" s="452">
        <f>IF(H87="",J94,'PSO.WS.G.BPU.ATRR.True-up'!$F$80)</f>
        <v>0.11422705305545768</v>
      </c>
      <c r="K95" s="293"/>
      <c r="L95" s="346" t="s">
        <v>60</v>
      </c>
      <c r="M95" s="293"/>
      <c r="N95" s="293"/>
      <c r="O95" s="293"/>
      <c r="P95" s="241"/>
    </row>
    <row r="96" spans="1:16" ht="13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40013</v>
      </c>
      <c r="K96" s="346"/>
      <c r="L96" s="346"/>
      <c r="M96" s="346"/>
      <c r="N96" s="346"/>
      <c r="O96" s="346"/>
      <c r="P96" s="241"/>
    </row>
    <row r="97" spans="1:16" ht="39">
      <c r="A97" s="373"/>
      <c r="B97" s="373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101</v>
      </c>
      <c r="H97" s="531" t="s">
        <v>281</v>
      </c>
      <c r="I97" s="459" t="s">
        <v>282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2.5">
      <c r="C99" s="470">
        <f>IF(D93= "","-",D93)</f>
        <v>2008</v>
      </c>
      <c r="D99" s="471">
        <v>0</v>
      </c>
      <c r="E99" s="478">
        <v>19125</v>
      </c>
      <c r="F99" s="477">
        <v>1501348</v>
      </c>
      <c r="G99" s="535">
        <v>750764</v>
      </c>
      <c r="H99" s="536">
        <v>138367</v>
      </c>
      <c r="I99" s="537">
        <v>138367</v>
      </c>
      <c r="J99" s="476">
        <f t="shared" ref="J99:J130" si="31">+I99-H99</f>
        <v>0</v>
      </c>
      <c r="K99" s="476"/>
      <c r="L99" s="552">
        <v>138367</v>
      </c>
      <c r="M99" s="475">
        <f t="shared" ref="M99:M130" si="32">IF(L99&lt;&gt;0,+H99-L99,0)</f>
        <v>0</v>
      </c>
      <c r="N99" s="552">
        <v>138367</v>
      </c>
      <c r="O99" s="475">
        <f t="shared" ref="O99:O130" si="33">IF(N99&lt;&gt;0,+I99-N99,0)</f>
        <v>0</v>
      </c>
      <c r="P99" s="475">
        <f t="shared" ref="P99:P130" si="34">+O99-M99</f>
        <v>0</v>
      </c>
    </row>
    <row r="100" spans="1:16" ht="12.5">
      <c r="B100" s="160" t="str">
        <f>IF(D100=F99,"","IU")</f>
        <v>IU</v>
      </c>
      <c r="C100" s="470">
        <f>IF(D93="","-",+C99+1)</f>
        <v>2009</v>
      </c>
      <c r="D100" s="471">
        <v>1501377</v>
      </c>
      <c r="E100" s="478">
        <v>27152</v>
      </c>
      <c r="F100" s="477">
        <v>1474225</v>
      </c>
      <c r="G100" s="477">
        <v>1487801</v>
      </c>
      <c r="H100" s="478">
        <v>244680.82784018715</v>
      </c>
      <c r="I100" s="479">
        <v>244680.82784018715</v>
      </c>
      <c r="J100" s="476">
        <f t="shared" si="31"/>
        <v>0</v>
      </c>
      <c r="K100" s="476"/>
      <c r="L100" s="538">
        <f t="shared" ref="L100:L105" si="35">H100</f>
        <v>244680.82784018715</v>
      </c>
      <c r="M100" s="539">
        <f t="shared" si="32"/>
        <v>0</v>
      </c>
      <c r="N100" s="538">
        <f t="shared" ref="N100:N105" si="36">I100</f>
        <v>244680.82784018715</v>
      </c>
      <c r="O100" s="476">
        <f t="shared" si="33"/>
        <v>0</v>
      </c>
      <c r="P100" s="476">
        <f t="shared" si="34"/>
        <v>0</v>
      </c>
    </row>
    <row r="101" spans="1:16" ht="12.5">
      <c r="B101" s="160" t="str">
        <f t="shared" ref="B101:B154" si="37">IF(D101=F100,"","IU")</f>
        <v/>
      </c>
      <c r="C101" s="470">
        <f>IF(D93="","-",+C100+1)</f>
        <v>2010</v>
      </c>
      <c r="D101" s="471">
        <v>1474225</v>
      </c>
      <c r="E101" s="478">
        <v>29814</v>
      </c>
      <c r="F101" s="477">
        <v>1444411</v>
      </c>
      <c r="G101" s="477">
        <v>1459318</v>
      </c>
      <c r="H101" s="478">
        <v>264494.5477733505</v>
      </c>
      <c r="I101" s="479">
        <v>264494.5477733505</v>
      </c>
      <c r="J101" s="476">
        <f t="shared" si="31"/>
        <v>0</v>
      </c>
      <c r="K101" s="476"/>
      <c r="L101" s="538">
        <f t="shared" si="35"/>
        <v>264494.5477733505</v>
      </c>
      <c r="M101" s="539">
        <f t="shared" si="32"/>
        <v>0</v>
      </c>
      <c r="N101" s="538">
        <f t="shared" si="36"/>
        <v>264494.5477733505</v>
      </c>
      <c r="O101" s="476">
        <f t="shared" si="33"/>
        <v>0</v>
      </c>
      <c r="P101" s="476">
        <f t="shared" si="34"/>
        <v>0</v>
      </c>
    </row>
    <row r="102" spans="1:16" ht="12.5">
      <c r="B102" s="160" t="str">
        <f t="shared" si="37"/>
        <v/>
      </c>
      <c r="C102" s="470">
        <f>IF(D93="","-",+C101+1)</f>
        <v>2011</v>
      </c>
      <c r="D102" s="471">
        <v>1444411</v>
      </c>
      <c r="E102" s="478">
        <v>29240</v>
      </c>
      <c r="F102" s="477">
        <v>1415171</v>
      </c>
      <c r="G102" s="477">
        <v>1429791</v>
      </c>
      <c r="H102" s="478">
        <v>229143.9952359481</v>
      </c>
      <c r="I102" s="479">
        <v>229143.9952359481</v>
      </c>
      <c r="J102" s="476">
        <f t="shared" si="31"/>
        <v>0</v>
      </c>
      <c r="K102" s="476"/>
      <c r="L102" s="538">
        <f t="shared" si="35"/>
        <v>229143.9952359481</v>
      </c>
      <c r="M102" s="539">
        <f t="shared" si="32"/>
        <v>0</v>
      </c>
      <c r="N102" s="538">
        <f t="shared" si="36"/>
        <v>229143.9952359481</v>
      </c>
      <c r="O102" s="476">
        <f t="shared" si="33"/>
        <v>0</v>
      </c>
      <c r="P102" s="476">
        <f t="shared" si="34"/>
        <v>0</v>
      </c>
    </row>
    <row r="103" spans="1:16" ht="12.5">
      <c r="B103" s="160" t="str">
        <f t="shared" si="37"/>
        <v/>
      </c>
      <c r="C103" s="470">
        <f>IF(D93="","-",+C102+1)</f>
        <v>2012</v>
      </c>
      <c r="D103" s="471">
        <v>1415171</v>
      </c>
      <c r="E103" s="478">
        <v>29240</v>
      </c>
      <c r="F103" s="477">
        <v>1385931</v>
      </c>
      <c r="G103" s="477">
        <v>1400551</v>
      </c>
      <c r="H103" s="478">
        <v>230716.93888695308</v>
      </c>
      <c r="I103" s="479">
        <v>230716.93888695308</v>
      </c>
      <c r="J103" s="476">
        <v>0</v>
      </c>
      <c r="K103" s="476"/>
      <c r="L103" s="538">
        <f t="shared" si="35"/>
        <v>230716.93888695308</v>
      </c>
      <c r="M103" s="539">
        <f t="shared" ref="M103:M108" si="38">IF(L103&lt;&gt;0,+H103-L103,0)</f>
        <v>0</v>
      </c>
      <c r="N103" s="538">
        <f t="shared" si="36"/>
        <v>230716.93888695308</v>
      </c>
      <c r="O103" s="476">
        <f t="shared" ref="O103:O108" si="39">IF(N103&lt;&gt;0,+I103-N103,0)</f>
        <v>0</v>
      </c>
      <c r="P103" s="476">
        <f t="shared" ref="P103:P108" si="40">+O103-M103</f>
        <v>0</v>
      </c>
    </row>
    <row r="104" spans="1:16" ht="12.5">
      <c r="B104" s="160" t="str">
        <f t="shared" si="37"/>
        <v/>
      </c>
      <c r="C104" s="470">
        <f>IF(D93="","-",+C103+1)</f>
        <v>2013</v>
      </c>
      <c r="D104" s="471">
        <v>1385931</v>
      </c>
      <c r="E104" s="478">
        <v>29240</v>
      </c>
      <c r="F104" s="477">
        <v>1356691</v>
      </c>
      <c r="G104" s="477">
        <v>1371311</v>
      </c>
      <c r="H104" s="478">
        <v>226625.94850487544</v>
      </c>
      <c r="I104" s="479">
        <v>226625.94850487544</v>
      </c>
      <c r="J104" s="476">
        <v>0</v>
      </c>
      <c r="K104" s="476"/>
      <c r="L104" s="538">
        <f t="shared" si="35"/>
        <v>226625.94850487544</v>
      </c>
      <c r="M104" s="539">
        <f t="shared" si="38"/>
        <v>0</v>
      </c>
      <c r="N104" s="538">
        <f t="shared" si="36"/>
        <v>226625.94850487544</v>
      </c>
      <c r="O104" s="476">
        <f t="shared" si="39"/>
        <v>0</v>
      </c>
      <c r="P104" s="476">
        <f t="shared" si="40"/>
        <v>0</v>
      </c>
    </row>
    <row r="105" spans="1:16" ht="12.5">
      <c r="B105" s="160" t="str">
        <f t="shared" si="37"/>
        <v/>
      </c>
      <c r="C105" s="470">
        <f>IF(D93="","-",+C104+1)</f>
        <v>2014</v>
      </c>
      <c r="D105" s="471">
        <v>1356691</v>
      </c>
      <c r="E105" s="478">
        <v>29240</v>
      </c>
      <c r="F105" s="477">
        <v>1327451</v>
      </c>
      <c r="G105" s="477">
        <v>1342071</v>
      </c>
      <c r="H105" s="478">
        <v>217929.69653942893</v>
      </c>
      <c r="I105" s="479">
        <v>217929.69653942893</v>
      </c>
      <c r="J105" s="476">
        <v>0</v>
      </c>
      <c r="K105" s="476"/>
      <c r="L105" s="538">
        <f t="shared" si="35"/>
        <v>217929.69653942893</v>
      </c>
      <c r="M105" s="539">
        <f t="shared" si="38"/>
        <v>0</v>
      </c>
      <c r="N105" s="538">
        <f t="shared" si="36"/>
        <v>217929.69653942893</v>
      </c>
      <c r="O105" s="476">
        <f t="shared" si="39"/>
        <v>0</v>
      </c>
      <c r="P105" s="476">
        <f t="shared" si="40"/>
        <v>0</v>
      </c>
    </row>
    <row r="106" spans="1:16" ht="12.5">
      <c r="B106" s="160" t="str">
        <f t="shared" si="37"/>
        <v/>
      </c>
      <c r="C106" s="470">
        <f>IF(D93="","-",+C105+1)</f>
        <v>2015</v>
      </c>
      <c r="D106" s="471">
        <v>1327451</v>
      </c>
      <c r="E106" s="478">
        <v>29240</v>
      </c>
      <c r="F106" s="477">
        <v>1298211</v>
      </c>
      <c r="G106" s="477">
        <v>1312831</v>
      </c>
      <c r="H106" s="478">
        <v>208365.23426858318</v>
      </c>
      <c r="I106" s="479">
        <v>208365.23426858318</v>
      </c>
      <c r="J106" s="476">
        <f t="shared" si="31"/>
        <v>0</v>
      </c>
      <c r="K106" s="476"/>
      <c r="L106" s="538">
        <f t="shared" ref="L106:L111" si="41">H106</f>
        <v>208365.23426858318</v>
      </c>
      <c r="M106" s="539">
        <f t="shared" si="38"/>
        <v>0</v>
      </c>
      <c r="N106" s="538">
        <f t="shared" ref="N106:N111" si="42">I106</f>
        <v>208365.23426858318</v>
      </c>
      <c r="O106" s="476">
        <f t="shared" si="39"/>
        <v>0</v>
      </c>
      <c r="P106" s="476">
        <f t="shared" si="40"/>
        <v>0</v>
      </c>
    </row>
    <row r="107" spans="1:16" ht="12.5">
      <c r="B107" s="160" t="str">
        <f t="shared" si="37"/>
        <v/>
      </c>
      <c r="C107" s="470">
        <f>IF(D93="","-",+C106+1)</f>
        <v>2016</v>
      </c>
      <c r="D107" s="471">
        <v>1298211</v>
      </c>
      <c r="E107" s="478">
        <v>33054</v>
      </c>
      <c r="F107" s="477">
        <v>1265157</v>
      </c>
      <c r="G107" s="477">
        <v>1281684</v>
      </c>
      <c r="H107" s="478">
        <v>198283.25268027262</v>
      </c>
      <c r="I107" s="479">
        <v>198283.25268027262</v>
      </c>
      <c r="J107" s="476">
        <f t="shared" si="31"/>
        <v>0</v>
      </c>
      <c r="K107" s="476"/>
      <c r="L107" s="538">
        <f t="shared" si="41"/>
        <v>198283.25268027262</v>
      </c>
      <c r="M107" s="539">
        <f t="shared" si="38"/>
        <v>0</v>
      </c>
      <c r="N107" s="538">
        <f t="shared" si="42"/>
        <v>198283.25268027262</v>
      </c>
      <c r="O107" s="476">
        <f t="shared" si="39"/>
        <v>0</v>
      </c>
      <c r="P107" s="476">
        <f t="shared" si="40"/>
        <v>0</v>
      </c>
    </row>
    <row r="108" spans="1:16" ht="12.5">
      <c r="B108" s="160" t="str">
        <f t="shared" si="37"/>
        <v/>
      </c>
      <c r="C108" s="470">
        <f>IF(D93="","-",+C107+1)</f>
        <v>2017</v>
      </c>
      <c r="D108" s="471">
        <v>1265157</v>
      </c>
      <c r="E108" s="478">
        <v>33054</v>
      </c>
      <c r="F108" s="477">
        <v>1232103</v>
      </c>
      <c r="G108" s="477">
        <v>1248630</v>
      </c>
      <c r="H108" s="478">
        <v>191445.86392166355</v>
      </c>
      <c r="I108" s="479">
        <v>191445.86392166355</v>
      </c>
      <c r="J108" s="476">
        <f t="shared" si="31"/>
        <v>0</v>
      </c>
      <c r="K108" s="476"/>
      <c r="L108" s="538">
        <f t="shared" si="41"/>
        <v>191445.86392166355</v>
      </c>
      <c r="M108" s="539">
        <f t="shared" si="38"/>
        <v>0</v>
      </c>
      <c r="N108" s="538">
        <f t="shared" si="42"/>
        <v>191445.86392166355</v>
      </c>
      <c r="O108" s="476">
        <f t="shared" si="39"/>
        <v>0</v>
      </c>
      <c r="P108" s="476">
        <f t="shared" si="40"/>
        <v>0</v>
      </c>
    </row>
    <row r="109" spans="1:16" ht="12.5">
      <c r="B109" s="160" t="str">
        <f t="shared" si="37"/>
        <v/>
      </c>
      <c r="C109" s="470">
        <f>IF(D93="","-",+C108+1)</f>
        <v>2018</v>
      </c>
      <c r="D109" s="471">
        <v>1232103</v>
      </c>
      <c r="E109" s="478">
        <v>35361</v>
      </c>
      <c r="F109" s="477">
        <v>1196742</v>
      </c>
      <c r="G109" s="477">
        <v>1214422.5</v>
      </c>
      <c r="H109" s="478">
        <v>160125.3839048628</v>
      </c>
      <c r="I109" s="479">
        <v>160125.3839048628</v>
      </c>
      <c r="J109" s="476">
        <f t="shared" si="31"/>
        <v>0</v>
      </c>
      <c r="K109" s="476"/>
      <c r="L109" s="538">
        <f t="shared" si="41"/>
        <v>160125.3839048628</v>
      </c>
      <c r="M109" s="539">
        <f t="shared" ref="M109" si="43">IF(L109&lt;&gt;0,+H109-L109,0)</f>
        <v>0</v>
      </c>
      <c r="N109" s="538">
        <f t="shared" si="42"/>
        <v>160125.3839048628</v>
      </c>
      <c r="O109" s="476">
        <f t="shared" ref="O109" si="44">IF(N109&lt;&gt;0,+I109-N109,0)</f>
        <v>0</v>
      </c>
      <c r="P109" s="476">
        <f t="shared" ref="P109" si="45">+O109-M109</f>
        <v>0</v>
      </c>
    </row>
    <row r="110" spans="1:16" ht="12.5">
      <c r="B110" s="160" t="str">
        <f t="shared" si="37"/>
        <v/>
      </c>
      <c r="C110" s="470">
        <f>IF(D93="","-",+C109+1)</f>
        <v>2019</v>
      </c>
      <c r="D110" s="471">
        <v>1196742</v>
      </c>
      <c r="E110" s="478">
        <v>37085</v>
      </c>
      <c r="F110" s="477">
        <v>1159657</v>
      </c>
      <c r="G110" s="477">
        <v>1178199.5</v>
      </c>
      <c r="H110" s="478">
        <v>158573.89397118561</v>
      </c>
      <c r="I110" s="479">
        <v>158573.89397118561</v>
      </c>
      <c r="J110" s="476">
        <f t="shared" si="31"/>
        <v>0</v>
      </c>
      <c r="K110" s="476"/>
      <c r="L110" s="538">
        <f t="shared" si="41"/>
        <v>158573.89397118561</v>
      </c>
      <c r="M110" s="539">
        <f t="shared" ref="M110" si="46">IF(L110&lt;&gt;0,+H110-L110,0)</f>
        <v>0</v>
      </c>
      <c r="N110" s="538">
        <f t="shared" si="42"/>
        <v>158573.89397118561</v>
      </c>
      <c r="O110" s="476">
        <f t="shared" si="33"/>
        <v>0</v>
      </c>
      <c r="P110" s="476">
        <f t="shared" si="34"/>
        <v>0</v>
      </c>
    </row>
    <row r="111" spans="1:16" ht="12.5">
      <c r="B111" s="160" t="str">
        <f t="shared" si="37"/>
        <v/>
      </c>
      <c r="C111" s="470">
        <f>IF(D93="","-",+C110+1)</f>
        <v>2020</v>
      </c>
      <c r="D111" s="471">
        <v>1159657</v>
      </c>
      <c r="E111" s="478">
        <v>35361</v>
      </c>
      <c r="F111" s="477">
        <v>1124296</v>
      </c>
      <c r="G111" s="477">
        <v>1141976.5</v>
      </c>
      <c r="H111" s="478">
        <v>167027.75084448946</v>
      </c>
      <c r="I111" s="479">
        <v>167027.75084448946</v>
      </c>
      <c r="J111" s="476">
        <f t="shared" si="31"/>
        <v>0</v>
      </c>
      <c r="K111" s="476"/>
      <c r="L111" s="538">
        <f t="shared" si="41"/>
        <v>167027.75084448946</v>
      </c>
      <c r="M111" s="539">
        <f t="shared" ref="M111" si="47">IF(L111&lt;&gt;0,+H111-L111,0)</f>
        <v>0</v>
      </c>
      <c r="N111" s="538">
        <f t="shared" si="42"/>
        <v>167027.75084448946</v>
      </c>
      <c r="O111" s="476">
        <f t="shared" si="33"/>
        <v>0</v>
      </c>
      <c r="P111" s="476">
        <f t="shared" si="34"/>
        <v>0</v>
      </c>
    </row>
    <row r="112" spans="1:16" ht="12.5">
      <c r="B112" s="160" t="str">
        <f t="shared" si="37"/>
        <v/>
      </c>
      <c r="C112" s="470">
        <f>IF(D93="","-",+C111+1)</f>
        <v>2021</v>
      </c>
      <c r="D112" s="471">
        <v>1124296</v>
      </c>
      <c r="E112" s="478">
        <v>37085</v>
      </c>
      <c r="F112" s="477">
        <v>1087211</v>
      </c>
      <c r="G112" s="477">
        <v>1105753.5</v>
      </c>
      <c r="H112" s="478">
        <v>162911.77916931669</v>
      </c>
      <c r="I112" s="479">
        <v>162911.77916931669</v>
      </c>
      <c r="J112" s="476">
        <f t="shared" si="31"/>
        <v>0</v>
      </c>
      <c r="K112" s="476"/>
      <c r="L112" s="538">
        <f t="shared" ref="L112" si="48">H112</f>
        <v>162911.77916931669</v>
      </c>
      <c r="M112" s="539">
        <f t="shared" ref="M112" si="49">IF(L112&lt;&gt;0,+H112-L112,0)</f>
        <v>0</v>
      </c>
      <c r="N112" s="538">
        <f t="shared" ref="N112" si="50">I112</f>
        <v>162911.77916931669</v>
      </c>
      <c r="O112" s="476">
        <f t="shared" si="33"/>
        <v>0</v>
      </c>
      <c r="P112" s="476">
        <f t="shared" si="34"/>
        <v>0</v>
      </c>
    </row>
    <row r="113" spans="2:16" ht="12.5">
      <c r="B113" s="160" t="str">
        <f t="shared" si="37"/>
        <v/>
      </c>
      <c r="C113" s="470">
        <f>IF(D93="","-",+C112+1)</f>
        <v>2022</v>
      </c>
      <c r="D113" s="471">
        <v>1087211</v>
      </c>
      <c r="E113" s="478">
        <v>38987</v>
      </c>
      <c r="F113" s="477">
        <v>1048224</v>
      </c>
      <c r="G113" s="477">
        <v>1067717.5</v>
      </c>
      <c r="H113" s="478">
        <v>156630.9466717566</v>
      </c>
      <c r="I113" s="479">
        <v>156630.9466717566</v>
      </c>
      <c r="J113" s="476">
        <f t="shared" si="31"/>
        <v>0</v>
      </c>
      <c r="K113" s="476"/>
      <c r="L113" s="538">
        <f t="shared" ref="L113" si="51">H113</f>
        <v>156630.9466717566</v>
      </c>
      <c r="M113" s="539">
        <f t="shared" ref="M113" si="52">IF(L113&lt;&gt;0,+H113-L113,0)</f>
        <v>0</v>
      </c>
      <c r="N113" s="538">
        <f t="shared" ref="N113" si="53">I113</f>
        <v>156630.9466717566</v>
      </c>
      <c r="O113" s="476">
        <f t="shared" ref="O113" si="54">IF(N113&lt;&gt;0,+I113-N113,0)</f>
        <v>0</v>
      </c>
      <c r="P113" s="476">
        <f t="shared" ref="P113" si="55">+O113-M113</f>
        <v>0</v>
      </c>
    </row>
    <row r="114" spans="2:16" ht="12.5">
      <c r="B114" s="160" t="str">
        <f t="shared" si="37"/>
        <v/>
      </c>
      <c r="C114" s="470">
        <f>IF(D93="","-",+C113+1)</f>
        <v>2023</v>
      </c>
      <c r="D114" s="345">
        <f>IF(F113+SUM(E$99:E113)=D$92,F113,D$92-SUM(E$99:E113))</f>
        <v>1048224</v>
      </c>
      <c r="E114" s="484">
        <f>IF(+J96&lt;F113,J96,D114)</f>
        <v>40013</v>
      </c>
      <c r="F114" s="483">
        <f t="shared" ref="F114:F130" si="56">+D114-E114</f>
        <v>1008211</v>
      </c>
      <c r="G114" s="483">
        <f t="shared" ref="G114:G130" si="57">+(F114+D114)/2</f>
        <v>1028217.5</v>
      </c>
      <c r="H114" s="484">
        <f t="shared" ref="H114:H153" si="58">(D114+F114)/2*J$94+E114</f>
        <v>157463.25492505005</v>
      </c>
      <c r="I114" s="540">
        <f t="shared" ref="I114:I153" si="59">+J$95*G114+E114</f>
        <v>157463.25492505005</v>
      </c>
      <c r="J114" s="476">
        <f t="shared" si="31"/>
        <v>0</v>
      </c>
      <c r="K114" s="476"/>
      <c r="L114" s="485"/>
      <c r="M114" s="476">
        <f t="shared" si="32"/>
        <v>0</v>
      </c>
      <c r="N114" s="485"/>
      <c r="O114" s="476">
        <f t="shared" si="33"/>
        <v>0</v>
      </c>
      <c r="P114" s="476">
        <f t="shared" si="34"/>
        <v>0</v>
      </c>
    </row>
    <row r="115" spans="2:16" ht="12.5">
      <c r="B115" s="160" t="str">
        <f t="shared" si="37"/>
        <v/>
      </c>
      <c r="C115" s="470">
        <f>IF(D93="","-",+C114+1)</f>
        <v>2024</v>
      </c>
      <c r="D115" s="345">
        <f>IF(F114+SUM(E$99:E114)=D$92,F114,D$92-SUM(E$99:E114))</f>
        <v>1008211</v>
      </c>
      <c r="E115" s="484">
        <f>IF(+J96&lt;F114,J96,D115)</f>
        <v>40013</v>
      </c>
      <c r="F115" s="483">
        <f t="shared" si="56"/>
        <v>968198</v>
      </c>
      <c r="G115" s="483">
        <f t="shared" si="57"/>
        <v>988204.5</v>
      </c>
      <c r="H115" s="484">
        <f t="shared" si="58"/>
        <v>152892.68785114202</v>
      </c>
      <c r="I115" s="540">
        <f t="shared" si="59"/>
        <v>152892.68785114202</v>
      </c>
      <c r="J115" s="476">
        <f t="shared" si="31"/>
        <v>0</v>
      </c>
      <c r="K115" s="476"/>
      <c r="L115" s="485"/>
      <c r="M115" s="476">
        <f t="shared" si="32"/>
        <v>0</v>
      </c>
      <c r="N115" s="485"/>
      <c r="O115" s="476">
        <f t="shared" si="33"/>
        <v>0</v>
      </c>
      <c r="P115" s="476">
        <f t="shared" si="34"/>
        <v>0</v>
      </c>
    </row>
    <row r="116" spans="2:16" ht="12.5">
      <c r="B116" s="160" t="str">
        <f t="shared" si="37"/>
        <v/>
      </c>
      <c r="C116" s="470">
        <f>IF(D93="","-",+C115+1)</f>
        <v>2025</v>
      </c>
      <c r="D116" s="345">
        <f>IF(F115+SUM(E$99:E115)=D$92,F115,D$92-SUM(E$99:E115))</f>
        <v>968198</v>
      </c>
      <c r="E116" s="484">
        <f>IF(+J96&lt;F115,J96,D116)</f>
        <v>40013</v>
      </c>
      <c r="F116" s="483">
        <f t="shared" si="56"/>
        <v>928185</v>
      </c>
      <c r="G116" s="483">
        <f t="shared" si="57"/>
        <v>948191.5</v>
      </c>
      <c r="H116" s="484">
        <f t="shared" si="58"/>
        <v>148322.120777234</v>
      </c>
      <c r="I116" s="540">
        <f t="shared" si="59"/>
        <v>148322.120777234</v>
      </c>
      <c r="J116" s="476">
        <f t="shared" si="31"/>
        <v>0</v>
      </c>
      <c r="K116" s="476"/>
      <c r="L116" s="485"/>
      <c r="M116" s="476">
        <f t="shared" si="32"/>
        <v>0</v>
      </c>
      <c r="N116" s="485"/>
      <c r="O116" s="476">
        <f t="shared" si="33"/>
        <v>0</v>
      </c>
      <c r="P116" s="476">
        <f t="shared" si="34"/>
        <v>0</v>
      </c>
    </row>
    <row r="117" spans="2:16" ht="12.5">
      <c r="B117" s="160" t="str">
        <f t="shared" si="37"/>
        <v/>
      </c>
      <c r="C117" s="470">
        <f>IF(D93="","-",+C116+1)</f>
        <v>2026</v>
      </c>
      <c r="D117" s="345">
        <f>IF(F116+SUM(E$99:E116)=D$92,F116,D$92-SUM(E$99:E116))</f>
        <v>928185</v>
      </c>
      <c r="E117" s="484">
        <f>IF(+J96&lt;F116,J96,D117)</f>
        <v>40013</v>
      </c>
      <c r="F117" s="483">
        <f t="shared" si="56"/>
        <v>888172</v>
      </c>
      <c r="G117" s="483">
        <f t="shared" si="57"/>
        <v>908178.5</v>
      </c>
      <c r="H117" s="484">
        <f t="shared" si="58"/>
        <v>143751.55370332598</v>
      </c>
      <c r="I117" s="540">
        <f t="shared" si="59"/>
        <v>143751.55370332598</v>
      </c>
      <c r="J117" s="476">
        <f t="shared" si="31"/>
        <v>0</v>
      </c>
      <c r="K117" s="476"/>
      <c r="L117" s="485"/>
      <c r="M117" s="476">
        <f t="shared" si="32"/>
        <v>0</v>
      </c>
      <c r="N117" s="485"/>
      <c r="O117" s="476">
        <f t="shared" si="33"/>
        <v>0</v>
      </c>
      <c r="P117" s="476">
        <f t="shared" si="34"/>
        <v>0</v>
      </c>
    </row>
    <row r="118" spans="2:16" ht="12.5">
      <c r="B118" s="160" t="str">
        <f t="shared" si="37"/>
        <v/>
      </c>
      <c r="C118" s="470">
        <f>IF(D93="","-",+C117+1)</f>
        <v>2027</v>
      </c>
      <c r="D118" s="345">
        <f>IF(F117+SUM(E$99:E117)=D$92,F117,D$92-SUM(E$99:E117))</f>
        <v>888172</v>
      </c>
      <c r="E118" s="484">
        <f>IF(+J96&lt;F117,J96,D118)</f>
        <v>40013</v>
      </c>
      <c r="F118" s="483">
        <f t="shared" si="56"/>
        <v>848159</v>
      </c>
      <c r="G118" s="483">
        <f t="shared" si="57"/>
        <v>868165.5</v>
      </c>
      <c r="H118" s="484">
        <f t="shared" si="58"/>
        <v>139180.98662941792</v>
      </c>
      <c r="I118" s="540">
        <f t="shared" si="59"/>
        <v>139180.98662941792</v>
      </c>
      <c r="J118" s="476">
        <f t="shared" si="31"/>
        <v>0</v>
      </c>
      <c r="K118" s="476"/>
      <c r="L118" s="485"/>
      <c r="M118" s="476">
        <f t="shared" si="32"/>
        <v>0</v>
      </c>
      <c r="N118" s="485"/>
      <c r="O118" s="476">
        <f t="shared" si="33"/>
        <v>0</v>
      </c>
      <c r="P118" s="476">
        <f t="shared" si="34"/>
        <v>0</v>
      </c>
    </row>
    <row r="119" spans="2:16" ht="12.5">
      <c r="B119" s="160" t="str">
        <f t="shared" si="37"/>
        <v/>
      </c>
      <c r="C119" s="470">
        <f>IF(D93="","-",+C118+1)</f>
        <v>2028</v>
      </c>
      <c r="D119" s="345">
        <f>IF(F118+SUM(E$99:E118)=D$92,F118,D$92-SUM(E$99:E118))</f>
        <v>848159</v>
      </c>
      <c r="E119" s="484">
        <f>IF(+J96&lt;F118,J96,D119)</f>
        <v>40013</v>
      </c>
      <c r="F119" s="483">
        <f t="shared" si="56"/>
        <v>808146</v>
      </c>
      <c r="G119" s="483">
        <f t="shared" si="57"/>
        <v>828152.5</v>
      </c>
      <c r="H119" s="484">
        <f t="shared" si="58"/>
        <v>134610.41955550993</v>
      </c>
      <c r="I119" s="540">
        <f t="shared" si="59"/>
        <v>134610.41955550993</v>
      </c>
      <c r="J119" s="476">
        <f t="shared" si="31"/>
        <v>0</v>
      </c>
      <c r="K119" s="476"/>
      <c r="L119" s="485"/>
      <c r="M119" s="476">
        <f t="shared" si="32"/>
        <v>0</v>
      </c>
      <c r="N119" s="485"/>
      <c r="O119" s="476">
        <f t="shared" si="33"/>
        <v>0</v>
      </c>
      <c r="P119" s="476">
        <f t="shared" si="34"/>
        <v>0</v>
      </c>
    </row>
    <row r="120" spans="2:16" ht="12.5">
      <c r="B120" s="160" t="str">
        <f t="shared" si="37"/>
        <v/>
      </c>
      <c r="C120" s="470">
        <f>IF(D93="","-",+C119+1)</f>
        <v>2029</v>
      </c>
      <c r="D120" s="345">
        <f>IF(F119+SUM(E$99:E119)=D$92,F119,D$92-SUM(E$99:E119))</f>
        <v>808146</v>
      </c>
      <c r="E120" s="484">
        <f>IF(+J96&lt;F119,J96,D120)</f>
        <v>40013</v>
      </c>
      <c r="F120" s="483">
        <f t="shared" si="56"/>
        <v>768133</v>
      </c>
      <c r="G120" s="483">
        <f t="shared" si="57"/>
        <v>788139.5</v>
      </c>
      <c r="H120" s="484">
        <f t="shared" si="58"/>
        <v>130039.85248160189</v>
      </c>
      <c r="I120" s="540">
        <f t="shared" si="59"/>
        <v>130039.85248160189</v>
      </c>
      <c r="J120" s="476">
        <f t="shared" si="31"/>
        <v>0</v>
      </c>
      <c r="K120" s="476"/>
      <c r="L120" s="485"/>
      <c r="M120" s="476">
        <f t="shared" si="32"/>
        <v>0</v>
      </c>
      <c r="N120" s="485"/>
      <c r="O120" s="476">
        <f t="shared" si="33"/>
        <v>0</v>
      </c>
      <c r="P120" s="476">
        <f t="shared" si="34"/>
        <v>0</v>
      </c>
    </row>
    <row r="121" spans="2:16" ht="12.5">
      <c r="B121" s="160" t="str">
        <f t="shared" si="37"/>
        <v/>
      </c>
      <c r="C121" s="470">
        <f>IF(D93="","-",+C120+1)</f>
        <v>2030</v>
      </c>
      <c r="D121" s="345">
        <f>IF(F120+SUM(E$99:E120)=D$92,F120,D$92-SUM(E$99:E120))</f>
        <v>768133</v>
      </c>
      <c r="E121" s="484">
        <f>IF(+J96&lt;F120,J96,D121)</f>
        <v>40013</v>
      </c>
      <c r="F121" s="483">
        <f t="shared" si="56"/>
        <v>728120</v>
      </c>
      <c r="G121" s="483">
        <f t="shared" si="57"/>
        <v>748126.5</v>
      </c>
      <c r="H121" s="484">
        <f t="shared" si="58"/>
        <v>125469.28540769385</v>
      </c>
      <c r="I121" s="540">
        <f t="shared" si="59"/>
        <v>125469.28540769385</v>
      </c>
      <c r="J121" s="476">
        <f t="shared" si="31"/>
        <v>0</v>
      </c>
      <c r="K121" s="476"/>
      <c r="L121" s="485"/>
      <c r="M121" s="476">
        <f t="shared" si="32"/>
        <v>0</v>
      </c>
      <c r="N121" s="485"/>
      <c r="O121" s="476">
        <f t="shared" si="33"/>
        <v>0</v>
      </c>
      <c r="P121" s="476">
        <f t="shared" si="34"/>
        <v>0</v>
      </c>
    </row>
    <row r="122" spans="2:16" ht="12.5">
      <c r="B122" s="160" t="str">
        <f t="shared" si="37"/>
        <v/>
      </c>
      <c r="C122" s="470">
        <f>IF(D93="","-",+C121+1)</f>
        <v>2031</v>
      </c>
      <c r="D122" s="345">
        <f>IF(F121+SUM(E$99:E121)=D$92,F121,D$92-SUM(E$99:E121))</f>
        <v>728120</v>
      </c>
      <c r="E122" s="484">
        <f>IF(+J96&lt;F121,J96,D122)</f>
        <v>40013</v>
      </c>
      <c r="F122" s="483">
        <f t="shared" si="56"/>
        <v>688107</v>
      </c>
      <c r="G122" s="483">
        <f t="shared" si="57"/>
        <v>708113.5</v>
      </c>
      <c r="H122" s="484">
        <f t="shared" si="58"/>
        <v>120898.71833378583</v>
      </c>
      <c r="I122" s="540">
        <f t="shared" si="59"/>
        <v>120898.71833378583</v>
      </c>
      <c r="J122" s="476">
        <f t="shared" si="31"/>
        <v>0</v>
      </c>
      <c r="K122" s="476"/>
      <c r="L122" s="485"/>
      <c r="M122" s="476">
        <f t="shared" si="32"/>
        <v>0</v>
      </c>
      <c r="N122" s="485"/>
      <c r="O122" s="476">
        <f t="shared" si="33"/>
        <v>0</v>
      </c>
      <c r="P122" s="476">
        <f t="shared" si="34"/>
        <v>0</v>
      </c>
    </row>
    <row r="123" spans="2:16" ht="12.5">
      <c r="B123" s="160" t="str">
        <f t="shared" si="37"/>
        <v/>
      </c>
      <c r="C123" s="470">
        <f>IF(D93="","-",+C122+1)</f>
        <v>2032</v>
      </c>
      <c r="D123" s="345">
        <f>IF(F122+SUM(E$99:E122)=D$92,F122,D$92-SUM(E$99:E122))</f>
        <v>688107</v>
      </c>
      <c r="E123" s="484">
        <f>IF(+J96&lt;F122,J96,D123)</f>
        <v>40013</v>
      </c>
      <c r="F123" s="483">
        <f t="shared" si="56"/>
        <v>648094</v>
      </c>
      <c r="G123" s="483">
        <f t="shared" si="57"/>
        <v>668100.5</v>
      </c>
      <c r="H123" s="484">
        <f t="shared" si="58"/>
        <v>116328.15125987781</v>
      </c>
      <c r="I123" s="540">
        <f t="shared" si="59"/>
        <v>116328.15125987781</v>
      </c>
      <c r="J123" s="476">
        <f t="shared" si="31"/>
        <v>0</v>
      </c>
      <c r="K123" s="476"/>
      <c r="L123" s="485"/>
      <c r="M123" s="476">
        <f t="shared" si="32"/>
        <v>0</v>
      </c>
      <c r="N123" s="485"/>
      <c r="O123" s="476">
        <f t="shared" si="33"/>
        <v>0</v>
      </c>
      <c r="P123" s="476">
        <f t="shared" si="34"/>
        <v>0</v>
      </c>
    </row>
    <row r="124" spans="2:16" ht="12.5">
      <c r="B124" s="160" t="str">
        <f t="shared" si="37"/>
        <v/>
      </c>
      <c r="C124" s="470">
        <f>IF(D93="","-",+C123+1)</f>
        <v>2033</v>
      </c>
      <c r="D124" s="345">
        <f>IF(F123+SUM(E$99:E123)=D$92,F123,D$92-SUM(E$99:E123))</f>
        <v>648094</v>
      </c>
      <c r="E124" s="484">
        <f>IF(+J96&lt;F123,J96,D124)</f>
        <v>40013</v>
      </c>
      <c r="F124" s="483">
        <f t="shared" si="56"/>
        <v>608081</v>
      </c>
      <c r="G124" s="483">
        <f t="shared" si="57"/>
        <v>628087.5</v>
      </c>
      <c r="H124" s="484">
        <f t="shared" si="58"/>
        <v>111757.58418596977</v>
      </c>
      <c r="I124" s="540">
        <f t="shared" si="59"/>
        <v>111757.58418596977</v>
      </c>
      <c r="J124" s="476">
        <f t="shared" si="31"/>
        <v>0</v>
      </c>
      <c r="K124" s="476"/>
      <c r="L124" s="485"/>
      <c r="M124" s="476">
        <f t="shared" si="32"/>
        <v>0</v>
      </c>
      <c r="N124" s="485"/>
      <c r="O124" s="476">
        <f t="shared" si="33"/>
        <v>0</v>
      </c>
      <c r="P124" s="476">
        <f t="shared" si="34"/>
        <v>0</v>
      </c>
    </row>
    <row r="125" spans="2:16" ht="12.5">
      <c r="B125" s="160" t="str">
        <f t="shared" si="37"/>
        <v/>
      </c>
      <c r="C125" s="470">
        <f>IF(D93="","-",+C124+1)</f>
        <v>2034</v>
      </c>
      <c r="D125" s="345">
        <f>IF(F124+SUM(E$99:E124)=D$92,F124,D$92-SUM(E$99:E124))</f>
        <v>608081</v>
      </c>
      <c r="E125" s="484">
        <f>IF(+J96&lt;F124,J96,D125)</f>
        <v>40013</v>
      </c>
      <c r="F125" s="483">
        <f t="shared" si="56"/>
        <v>568068</v>
      </c>
      <c r="G125" s="483">
        <f t="shared" si="57"/>
        <v>588074.5</v>
      </c>
      <c r="H125" s="484">
        <f t="shared" si="58"/>
        <v>107187.01711206175</v>
      </c>
      <c r="I125" s="540">
        <f t="shared" si="59"/>
        <v>107187.01711206175</v>
      </c>
      <c r="J125" s="476">
        <f t="shared" si="31"/>
        <v>0</v>
      </c>
      <c r="K125" s="476"/>
      <c r="L125" s="485"/>
      <c r="M125" s="476">
        <f t="shared" si="32"/>
        <v>0</v>
      </c>
      <c r="N125" s="485"/>
      <c r="O125" s="476">
        <f t="shared" si="33"/>
        <v>0</v>
      </c>
      <c r="P125" s="476">
        <f t="shared" si="34"/>
        <v>0</v>
      </c>
    </row>
    <row r="126" spans="2:16" ht="12.5">
      <c r="B126" s="160" t="str">
        <f t="shared" si="37"/>
        <v/>
      </c>
      <c r="C126" s="470">
        <f>IF(D93="","-",+C125+1)</f>
        <v>2035</v>
      </c>
      <c r="D126" s="345">
        <f>IF(F125+SUM(E$99:E125)=D$92,F125,D$92-SUM(E$99:E125))</f>
        <v>568068</v>
      </c>
      <c r="E126" s="484">
        <f>IF(+J96&lt;F125,J96,D126)</f>
        <v>40013</v>
      </c>
      <c r="F126" s="483">
        <f t="shared" si="56"/>
        <v>528055</v>
      </c>
      <c r="G126" s="483">
        <f t="shared" si="57"/>
        <v>548061.5</v>
      </c>
      <c r="H126" s="484">
        <f t="shared" si="58"/>
        <v>102616.45003815371</v>
      </c>
      <c r="I126" s="540">
        <f t="shared" si="59"/>
        <v>102616.45003815371</v>
      </c>
      <c r="J126" s="476">
        <f t="shared" si="31"/>
        <v>0</v>
      </c>
      <c r="K126" s="476"/>
      <c r="L126" s="485"/>
      <c r="M126" s="476">
        <f t="shared" si="32"/>
        <v>0</v>
      </c>
      <c r="N126" s="485"/>
      <c r="O126" s="476">
        <f t="shared" si="33"/>
        <v>0</v>
      </c>
      <c r="P126" s="476">
        <f t="shared" si="34"/>
        <v>0</v>
      </c>
    </row>
    <row r="127" spans="2:16" ht="12.5">
      <c r="B127" s="160" t="str">
        <f t="shared" si="37"/>
        <v/>
      </c>
      <c r="C127" s="470">
        <f>IF(D93="","-",+C126+1)</f>
        <v>2036</v>
      </c>
      <c r="D127" s="345">
        <f>IF(F126+SUM(E$99:E126)=D$92,F126,D$92-SUM(E$99:E126))</f>
        <v>528055</v>
      </c>
      <c r="E127" s="484">
        <f>IF(+J96&lt;F126,J96,D127)</f>
        <v>40013</v>
      </c>
      <c r="F127" s="483">
        <f t="shared" si="56"/>
        <v>488042</v>
      </c>
      <c r="G127" s="483">
        <f t="shared" si="57"/>
        <v>508048.5</v>
      </c>
      <c r="H127" s="484">
        <f t="shared" si="58"/>
        <v>98045.882964245684</v>
      </c>
      <c r="I127" s="540">
        <f t="shared" si="59"/>
        <v>98045.882964245684</v>
      </c>
      <c r="J127" s="476">
        <f t="shared" si="31"/>
        <v>0</v>
      </c>
      <c r="K127" s="476"/>
      <c r="L127" s="485"/>
      <c r="M127" s="476">
        <f t="shared" si="32"/>
        <v>0</v>
      </c>
      <c r="N127" s="485"/>
      <c r="O127" s="476">
        <f t="shared" si="33"/>
        <v>0</v>
      </c>
      <c r="P127" s="476">
        <f t="shared" si="34"/>
        <v>0</v>
      </c>
    </row>
    <row r="128" spans="2:16" ht="12.5">
      <c r="B128" s="160" t="str">
        <f t="shared" si="37"/>
        <v/>
      </c>
      <c r="C128" s="470">
        <f>IF(D93="","-",+C127+1)</f>
        <v>2037</v>
      </c>
      <c r="D128" s="345">
        <f>IF(F127+SUM(E$99:E127)=D$92,F127,D$92-SUM(E$99:E127))</f>
        <v>488042</v>
      </c>
      <c r="E128" s="484">
        <f>IF(+J96&lt;F127,J96,D128)</f>
        <v>40013</v>
      </c>
      <c r="F128" s="483">
        <f t="shared" si="56"/>
        <v>448029</v>
      </c>
      <c r="G128" s="483">
        <f t="shared" si="57"/>
        <v>468035.5</v>
      </c>
      <c r="H128" s="484">
        <f t="shared" si="58"/>
        <v>93475.315890337661</v>
      </c>
      <c r="I128" s="540">
        <f t="shared" si="59"/>
        <v>93475.315890337661</v>
      </c>
      <c r="J128" s="476">
        <f t="shared" si="31"/>
        <v>0</v>
      </c>
      <c r="K128" s="476"/>
      <c r="L128" s="485"/>
      <c r="M128" s="476">
        <f t="shared" si="32"/>
        <v>0</v>
      </c>
      <c r="N128" s="485"/>
      <c r="O128" s="476">
        <f t="shared" si="33"/>
        <v>0</v>
      </c>
      <c r="P128" s="476">
        <f t="shared" si="34"/>
        <v>0</v>
      </c>
    </row>
    <row r="129" spans="2:16" ht="12.5">
      <c r="B129" s="160" t="str">
        <f t="shared" si="37"/>
        <v/>
      </c>
      <c r="C129" s="470">
        <f>IF(D93="","-",+C128+1)</f>
        <v>2038</v>
      </c>
      <c r="D129" s="345">
        <f>IF(F128+SUM(E$99:E128)=D$92,F128,D$92-SUM(E$99:E128))</f>
        <v>448029</v>
      </c>
      <c r="E129" s="484">
        <f>IF(+J96&lt;F128,J96,D129)</f>
        <v>40013</v>
      </c>
      <c r="F129" s="483">
        <f t="shared" si="56"/>
        <v>408016</v>
      </c>
      <c r="G129" s="483">
        <f t="shared" si="57"/>
        <v>428022.5</v>
      </c>
      <c r="H129" s="484">
        <f t="shared" si="58"/>
        <v>88904.748816429637</v>
      </c>
      <c r="I129" s="540">
        <f t="shared" si="59"/>
        <v>88904.748816429637</v>
      </c>
      <c r="J129" s="476">
        <f t="shared" si="31"/>
        <v>0</v>
      </c>
      <c r="K129" s="476"/>
      <c r="L129" s="485"/>
      <c r="M129" s="476">
        <f t="shared" si="32"/>
        <v>0</v>
      </c>
      <c r="N129" s="485"/>
      <c r="O129" s="476">
        <f t="shared" si="33"/>
        <v>0</v>
      </c>
      <c r="P129" s="476">
        <f t="shared" si="34"/>
        <v>0</v>
      </c>
    </row>
    <row r="130" spans="2:16" ht="12.5">
      <c r="B130" s="160" t="str">
        <f t="shared" si="37"/>
        <v/>
      </c>
      <c r="C130" s="470">
        <f>IF(D93="","-",+C129+1)</f>
        <v>2039</v>
      </c>
      <c r="D130" s="345">
        <f>IF(F129+SUM(E$99:E129)=D$92,F129,D$92-SUM(E$99:E129))</f>
        <v>408016</v>
      </c>
      <c r="E130" s="484">
        <f>IF(+J96&lt;F129,J96,D130)</f>
        <v>40013</v>
      </c>
      <c r="F130" s="483">
        <f t="shared" si="56"/>
        <v>368003</v>
      </c>
      <c r="G130" s="483">
        <f t="shared" si="57"/>
        <v>388009.5</v>
      </c>
      <c r="H130" s="484">
        <f t="shared" si="58"/>
        <v>84334.181742521614</v>
      </c>
      <c r="I130" s="540">
        <f t="shared" si="59"/>
        <v>84334.181742521614</v>
      </c>
      <c r="J130" s="476">
        <f t="shared" si="31"/>
        <v>0</v>
      </c>
      <c r="K130" s="476"/>
      <c r="L130" s="485"/>
      <c r="M130" s="476">
        <f t="shared" si="32"/>
        <v>0</v>
      </c>
      <c r="N130" s="485"/>
      <c r="O130" s="476">
        <f t="shared" si="33"/>
        <v>0</v>
      </c>
      <c r="P130" s="476">
        <f t="shared" si="34"/>
        <v>0</v>
      </c>
    </row>
    <row r="131" spans="2:16" ht="12.5">
      <c r="B131" s="160" t="str">
        <f t="shared" si="37"/>
        <v/>
      </c>
      <c r="C131" s="470">
        <f>IF(D93="","-",+C130+1)</f>
        <v>2040</v>
      </c>
      <c r="D131" s="345">
        <f>IF(F130+SUM(E$99:E130)=D$92,F130,D$92-SUM(E$99:E130))</f>
        <v>368003</v>
      </c>
      <c r="E131" s="484">
        <f>IF(+J96&lt;F130,J96,D131)</f>
        <v>40013</v>
      </c>
      <c r="F131" s="483">
        <f t="shared" ref="F131:F154" si="60">+D131-E131</f>
        <v>327990</v>
      </c>
      <c r="G131" s="483">
        <f t="shared" ref="G131:G154" si="61">+(F131+D131)/2</f>
        <v>347996.5</v>
      </c>
      <c r="H131" s="484">
        <f t="shared" si="58"/>
        <v>79763.614668613576</v>
      </c>
      <c r="I131" s="540">
        <f t="shared" si="59"/>
        <v>79763.614668613576</v>
      </c>
      <c r="J131" s="476">
        <f t="shared" ref="J131:J154" si="62">+I131-H131</f>
        <v>0</v>
      </c>
      <c r="K131" s="476"/>
      <c r="L131" s="485"/>
      <c r="M131" s="476">
        <f t="shared" ref="M131:M154" si="63">IF(L131&lt;&gt;0,+H131-L131,0)</f>
        <v>0</v>
      </c>
      <c r="N131" s="485"/>
      <c r="O131" s="476">
        <f t="shared" ref="O131:O154" si="64">IF(N131&lt;&gt;0,+I131-N131,0)</f>
        <v>0</v>
      </c>
      <c r="P131" s="476">
        <f t="shared" ref="P131:P154" si="65">+O131-M131</f>
        <v>0</v>
      </c>
    </row>
    <row r="132" spans="2:16" ht="12.5">
      <c r="B132" s="160" t="str">
        <f t="shared" si="37"/>
        <v/>
      </c>
      <c r="C132" s="470">
        <f>IF(D93="","-",+C131+1)</f>
        <v>2041</v>
      </c>
      <c r="D132" s="345">
        <f>IF(F131+SUM(E$99:E131)=D$92,F131,D$92-SUM(E$99:E131))</f>
        <v>327990</v>
      </c>
      <c r="E132" s="484">
        <f>IF(+J96&lt;F131,J96,D132)</f>
        <v>40013</v>
      </c>
      <c r="F132" s="483">
        <f t="shared" si="60"/>
        <v>287977</v>
      </c>
      <c r="G132" s="483">
        <f t="shared" si="61"/>
        <v>307983.5</v>
      </c>
      <c r="H132" s="484">
        <f t="shared" si="58"/>
        <v>75193.047594705538</v>
      </c>
      <c r="I132" s="540">
        <f t="shared" si="59"/>
        <v>75193.047594705538</v>
      </c>
      <c r="J132" s="476">
        <f t="shared" si="62"/>
        <v>0</v>
      </c>
      <c r="K132" s="476"/>
      <c r="L132" s="485"/>
      <c r="M132" s="476">
        <f t="shared" si="63"/>
        <v>0</v>
      </c>
      <c r="N132" s="485"/>
      <c r="O132" s="476">
        <f t="shared" si="64"/>
        <v>0</v>
      </c>
      <c r="P132" s="476">
        <f t="shared" si="65"/>
        <v>0</v>
      </c>
    </row>
    <row r="133" spans="2:16" ht="12.5">
      <c r="B133" s="160" t="str">
        <f t="shared" si="37"/>
        <v/>
      </c>
      <c r="C133" s="470">
        <f>IF(D93="","-",+C132+1)</f>
        <v>2042</v>
      </c>
      <c r="D133" s="345">
        <f>IF(F132+SUM(E$99:E132)=D$92,F132,D$92-SUM(E$99:E132))</f>
        <v>287977</v>
      </c>
      <c r="E133" s="484">
        <f>IF(+J96&lt;F132,J96,D133)</f>
        <v>40013</v>
      </c>
      <c r="F133" s="483">
        <f t="shared" si="60"/>
        <v>247964</v>
      </c>
      <c r="G133" s="483">
        <f t="shared" si="61"/>
        <v>267970.5</v>
      </c>
      <c r="H133" s="484">
        <f t="shared" si="58"/>
        <v>70622.480520797515</v>
      </c>
      <c r="I133" s="540">
        <f t="shared" si="59"/>
        <v>70622.480520797515</v>
      </c>
      <c r="J133" s="476">
        <f t="shared" si="62"/>
        <v>0</v>
      </c>
      <c r="K133" s="476"/>
      <c r="L133" s="485"/>
      <c r="M133" s="476">
        <f t="shared" si="63"/>
        <v>0</v>
      </c>
      <c r="N133" s="485"/>
      <c r="O133" s="476">
        <f t="shared" si="64"/>
        <v>0</v>
      </c>
      <c r="P133" s="476">
        <f t="shared" si="65"/>
        <v>0</v>
      </c>
    </row>
    <row r="134" spans="2:16" ht="12.5">
      <c r="B134" s="160" t="str">
        <f t="shared" si="37"/>
        <v/>
      </c>
      <c r="C134" s="470">
        <f>IF(D93="","-",+C133+1)</f>
        <v>2043</v>
      </c>
      <c r="D134" s="345">
        <f>IF(F133+SUM(E$99:E133)=D$92,F133,D$92-SUM(E$99:E133))</f>
        <v>247964</v>
      </c>
      <c r="E134" s="484">
        <f>IF(+J96&lt;F133,J96,D134)</f>
        <v>40013</v>
      </c>
      <c r="F134" s="483">
        <f t="shared" si="60"/>
        <v>207951</v>
      </c>
      <c r="G134" s="483">
        <f t="shared" si="61"/>
        <v>227957.5</v>
      </c>
      <c r="H134" s="484">
        <f t="shared" si="58"/>
        <v>66051.913446889492</v>
      </c>
      <c r="I134" s="540">
        <f t="shared" si="59"/>
        <v>66051.913446889492</v>
      </c>
      <c r="J134" s="476">
        <f t="shared" si="62"/>
        <v>0</v>
      </c>
      <c r="K134" s="476"/>
      <c r="L134" s="485"/>
      <c r="M134" s="476">
        <f t="shared" si="63"/>
        <v>0</v>
      </c>
      <c r="N134" s="485"/>
      <c r="O134" s="476">
        <f t="shared" si="64"/>
        <v>0</v>
      </c>
      <c r="P134" s="476">
        <f t="shared" si="65"/>
        <v>0</v>
      </c>
    </row>
    <row r="135" spans="2:16" ht="12.5">
      <c r="B135" s="160" t="str">
        <f t="shared" si="37"/>
        <v/>
      </c>
      <c r="C135" s="470">
        <f>IF(D93="","-",+C134+1)</f>
        <v>2044</v>
      </c>
      <c r="D135" s="345">
        <f>IF(F134+SUM(E$99:E134)=D$92,F134,D$92-SUM(E$99:E134))</f>
        <v>207951</v>
      </c>
      <c r="E135" s="484">
        <f>IF(+J96&lt;F134,J96,D135)</f>
        <v>40013</v>
      </c>
      <c r="F135" s="483">
        <f t="shared" si="60"/>
        <v>167938</v>
      </c>
      <c r="G135" s="483">
        <f t="shared" si="61"/>
        <v>187944.5</v>
      </c>
      <c r="H135" s="484">
        <f t="shared" si="58"/>
        <v>61481.346372981468</v>
      </c>
      <c r="I135" s="540">
        <f t="shared" si="59"/>
        <v>61481.346372981468</v>
      </c>
      <c r="J135" s="476">
        <f t="shared" si="62"/>
        <v>0</v>
      </c>
      <c r="K135" s="476"/>
      <c r="L135" s="485"/>
      <c r="M135" s="476">
        <f t="shared" si="63"/>
        <v>0</v>
      </c>
      <c r="N135" s="485"/>
      <c r="O135" s="476">
        <f t="shared" si="64"/>
        <v>0</v>
      </c>
      <c r="P135" s="476">
        <f t="shared" si="65"/>
        <v>0</v>
      </c>
    </row>
    <row r="136" spans="2:16" ht="12.5">
      <c r="B136" s="160" t="str">
        <f t="shared" si="37"/>
        <v/>
      </c>
      <c r="C136" s="470">
        <f>IF(D93="","-",+C135+1)</f>
        <v>2045</v>
      </c>
      <c r="D136" s="345">
        <f>IF(F135+SUM(E$99:E135)=D$92,F135,D$92-SUM(E$99:E135))</f>
        <v>167938</v>
      </c>
      <c r="E136" s="484">
        <f>IF(+J96&lt;F135,J96,D136)</f>
        <v>40013</v>
      </c>
      <c r="F136" s="483">
        <f t="shared" si="60"/>
        <v>127925</v>
      </c>
      <c r="G136" s="483">
        <f t="shared" si="61"/>
        <v>147931.5</v>
      </c>
      <c r="H136" s="484">
        <f t="shared" si="58"/>
        <v>56910.779299073438</v>
      </c>
      <c r="I136" s="540">
        <f t="shared" si="59"/>
        <v>56910.779299073438</v>
      </c>
      <c r="J136" s="476">
        <f t="shared" si="62"/>
        <v>0</v>
      </c>
      <c r="K136" s="476"/>
      <c r="L136" s="485"/>
      <c r="M136" s="476">
        <f t="shared" si="63"/>
        <v>0</v>
      </c>
      <c r="N136" s="485"/>
      <c r="O136" s="476">
        <f t="shared" si="64"/>
        <v>0</v>
      </c>
      <c r="P136" s="476">
        <f t="shared" si="65"/>
        <v>0</v>
      </c>
    </row>
    <row r="137" spans="2:16" ht="12.5">
      <c r="B137" s="160" t="str">
        <f t="shared" si="37"/>
        <v/>
      </c>
      <c r="C137" s="470">
        <f>IF(D93="","-",+C136+1)</f>
        <v>2046</v>
      </c>
      <c r="D137" s="345">
        <f>IF(F136+SUM(E$99:E136)=D$92,F136,D$92-SUM(E$99:E136))</f>
        <v>127925</v>
      </c>
      <c r="E137" s="484">
        <f>IF(+J96&lt;F136,J96,D137)</f>
        <v>40013</v>
      </c>
      <c r="F137" s="483">
        <f t="shared" si="60"/>
        <v>87912</v>
      </c>
      <c r="G137" s="483">
        <f t="shared" si="61"/>
        <v>107918.5</v>
      </c>
      <c r="H137" s="484">
        <f t="shared" si="58"/>
        <v>52340.212225165407</v>
      </c>
      <c r="I137" s="540">
        <f t="shared" si="59"/>
        <v>52340.212225165407</v>
      </c>
      <c r="J137" s="476">
        <f t="shared" si="62"/>
        <v>0</v>
      </c>
      <c r="K137" s="476"/>
      <c r="L137" s="485"/>
      <c r="M137" s="476">
        <f t="shared" si="63"/>
        <v>0</v>
      </c>
      <c r="N137" s="485"/>
      <c r="O137" s="476">
        <f t="shared" si="64"/>
        <v>0</v>
      </c>
      <c r="P137" s="476">
        <f t="shared" si="65"/>
        <v>0</v>
      </c>
    </row>
    <row r="138" spans="2:16" ht="12.5">
      <c r="B138" s="160" t="str">
        <f t="shared" si="37"/>
        <v/>
      </c>
      <c r="C138" s="470">
        <f>IF(D93="","-",+C137+1)</f>
        <v>2047</v>
      </c>
      <c r="D138" s="345">
        <f>IF(F137+SUM(E$99:E137)=D$92,F137,D$92-SUM(E$99:E137))</f>
        <v>87912</v>
      </c>
      <c r="E138" s="484">
        <f>IF(+J96&lt;F137,J96,D138)</f>
        <v>40013</v>
      </c>
      <c r="F138" s="483">
        <f t="shared" si="60"/>
        <v>47899</v>
      </c>
      <c r="G138" s="483">
        <f t="shared" si="61"/>
        <v>67905.5</v>
      </c>
      <c r="H138" s="484">
        <f t="shared" si="58"/>
        <v>47769.645151257384</v>
      </c>
      <c r="I138" s="540">
        <f t="shared" si="59"/>
        <v>47769.645151257384</v>
      </c>
      <c r="J138" s="476">
        <f t="shared" si="62"/>
        <v>0</v>
      </c>
      <c r="K138" s="476"/>
      <c r="L138" s="485"/>
      <c r="M138" s="476">
        <f t="shared" si="63"/>
        <v>0</v>
      </c>
      <c r="N138" s="485"/>
      <c r="O138" s="476">
        <f t="shared" si="64"/>
        <v>0</v>
      </c>
      <c r="P138" s="476">
        <f t="shared" si="65"/>
        <v>0</v>
      </c>
    </row>
    <row r="139" spans="2:16" ht="12.5">
      <c r="B139" s="160" t="str">
        <f t="shared" si="37"/>
        <v/>
      </c>
      <c r="C139" s="470">
        <f>IF(D93="","-",+C138+1)</f>
        <v>2048</v>
      </c>
      <c r="D139" s="345">
        <f>IF(F138+SUM(E$99:E138)=D$92,F138,D$92-SUM(E$99:E138))</f>
        <v>47899</v>
      </c>
      <c r="E139" s="484">
        <f>IF(+J96&lt;F138,J96,D139)</f>
        <v>40013</v>
      </c>
      <c r="F139" s="483">
        <f t="shared" si="60"/>
        <v>7886</v>
      </c>
      <c r="G139" s="483">
        <f t="shared" si="61"/>
        <v>27892.5</v>
      </c>
      <c r="H139" s="484">
        <f t="shared" si="58"/>
        <v>43199.078077349353</v>
      </c>
      <c r="I139" s="540">
        <f t="shared" si="59"/>
        <v>43199.078077349353</v>
      </c>
      <c r="J139" s="476">
        <f t="shared" si="62"/>
        <v>0</v>
      </c>
      <c r="K139" s="476"/>
      <c r="L139" s="485"/>
      <c r="M139" s="476">
        <f t="shared" si="63"/>
        <v>0</v>
      </c>
      <c r="N139" s="485"/>
      <c r="O139" s="476">
        <f t="shared" si="64"/>
        <v>0</v>
      </c>
      <c r="P139" s="476">
        <f t="shared" si="65"/>
        <v>0</v>
      </c>
    </row>
    <row r="140" spans="2:16" ht="12.5">
      <c r="B140" s="160" t="str">
        <f t="shared" si="37"/>
        <v/>
      </c>
      <c r="C140" s="470">
        <f>IF(D93="","-",+C139+1)</f>
        <v>2049</v>
      </c>
      <c r="D140" s="345">
        <f>IF(F139+SUM(E$99:E139)=D$92,F139,D$92-SUM(E$99:E139))</f>
        <v>7886</v>
      </c>
      <c r="E140" s="484">
        <f>IF(+J96&lt;F139,J96,D140)</f>
        <v>7886</v>
      </c>
      <c r="F140" s="483">
        <f t="shared" si="60"/>
        <v>0</v>
      </c>
      <c r="G140" s="483">
        <f t="shared" si="61"/>
        <v>3943</v>
      </c>
      <c r="H140" s="484">
        <f t="shared" si="58"/>
        <v>8336.3972701976691</v>
      </c>
      <c r="I140" s="540">
        <f t="shared" si="59"/>
        <v>8336.3972701976691</v>
      </c>
      <c r="J140" s="476">
        <f t="shared" si="62"/>
        <v>0</v>
      </c>
      <c r="K140" s="476"/>
      <c r="L140" s="485"/>
      <c r="M140" s="476">
        <f t="shared" si="63"/>
        <v>0</v>
      </c>
      <c r="N140" s="485"/>
      <c r="O140" s="476">
        <f t="shared" si="64"/>
        <v>0</v>
      </c>
      <c r="P140" s="476">
        <f t="shared" si="65"/>
        <v>0</v>
      </c>
    </row>
    <row r="141" spans="2:16" ht="12.5">
      <c r="B141" s="160" t="str">
        <f t="shared" si="37"/>
        <v/>
      </c>
      <c r="C141" s="470">
        <f>IF(D93="","-",+C140+1)</f>
        <v>2050</v>
      </c>
      <c r="D141" s="345">
        <f>IF(F140+SUM(E$99:E140)=D$92,F140,D$92-SUM(E$99:E140))</f>
        <v>0</v>
      </c>
      <c r="E141" s="484">
        <f>IF(+J96&lt;F140,J96,D141)</f>
        <v>0</v>
      </c>
      <c r="F141" s="483">
        <f t="shared" si="60"/>
        <v>0</v>
      </c>
      <c r="G141" s="483">
        <f t="shared" si="61"/>
        <v>0</v>
      </c>
      <c r="H141" s="484">
        <f t="shared" si="58"/>
        <v>0</v>
      </c>
      <c r="I141" s="540">
        <f t="shared" si="59"/>
        <v>0</v>
      </c>
      <c r="J141" s="476">
        <f t="shared" si="62"/>
        <v>0</v>
      </c>
      <c r="K141" s="476"/>
      <c r="L141" s="485"/>
      <c r="M141" s="476">
        <f t="shared" si="63"/>
        <v>0</v>
      </c>
      <c r="N141" s="485"/>
      <c r="O141" s="476">
        <f t="shared" si="64"/>
        <v>0</v>
      </c>
      <c r="P141" s="476">
        <f t="shared" si="65"/>
        <v>0</v>
      </c>
    </row>
    <row r="142" spans="2:16" ht="12.5">
      <c r="B142" s="160" t="str">
        <f t="shared" si="37"/>
        <v/>
      </c>
      <c r="C142" s="470">
        <f>IF(D93="","-",+C141+1)</f>
        <v>2051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60"/>
        <v>0</v>
      </c>
      <c r="G142" s="483">
        <f t="shared" si="61"/>
        <v>0</v>
      </c>
      <c r="H142" s="484">
        <f t="shared" si="58"/>
        <v>0</v>
      </c>
      <c r="I142" s="540">
        <f t="shared" si="59"/>
        <v>0</v>
      </c>
      <c r="J142" s="476">
        <f t="shared" si="62"/>
        <v>0</v>
      </c>
      <c r="K142" s="476"/>
      <c r="L142" s="485"/>
      <c r="M142" s="476">
        <f t="shared" si="63"/>
        <v>0</v>
      </c>
      <c r="N142" s="485"/>
      <c r="O142" s="476">
        <f t="shared" si="64"/>
        <v>0</v>
      </c>
      <c r="P142" s="476">
        <f t="shared" si="65"/>
        <v>0</v>
      </c>
    </row>
    <row r="143" spans="2:16" ht="12.5">
      <c r="B143" s="160" t="str">
        <f t="shared" si="37"/>
        <v/>
      </c>
      <c r="C143" s="470">
        <f>IF(D93="","-",+C142+1)</f>
        <v>2052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60"/>
        <v>0</v>
      </c>
      <c r="G143" s="483">
        <f t="shared" si="61"/>
        <v>0</v>
      </c>
      <c r="H143" s="484">
        <f t="shared" si="58"/>
        <v>0</v>
      </c>
      <c r="I143" s="540">
        <f t="shared" si="59"/>
        <v>0</v>
      </c>
      <c r="J143" s="476">
        <f t="shared" si="62"/>
        <v>0</v>
      </c>
      <c r="K143" s="476"/>
      <c r="L143" s="485"/>
      <c r="M143" s="476">
        <f t="shared" si="63"/>
        <v>0</v>
      </c>
      <c r="N143" s="485"/>
      <c r="O143" s="476">
        <f t="shared" si="64"/>
        <v>0</v>
      </c>
      <c r="P143" s="476">
        <f t="shared" si="65"/>
        <v>0</v>
      </c>
    </row>
    <row r="144" spans="2:16" ht="12.5">
      <c r="B144" s="160" t="str">
        <f t="shared" si="37"/>
        <v/>
      </c>
      <c r="C144" s="470">
        <f>IF(D93="","-",+C143+1)</f>
        <v>2053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60"/>
        <v>0</v>
      </c>
      <c r="G144" s="483">
        <f t="shared" si="61"/>
        <v>0</v>
      </c>
      <c r="H144" s="484">
        <f t="shared" si="58"/>
        <v>0</v>
      </c>
      <c r="I144" s="540">
        <f t="shared" si="59"/>
        <v>0</v>
      </c>
      <c r="J144" s="476">
        <f t="shared" si="62"/>
        <v>0</v>
      </c>
      <c r="K144" s="476"/>
      <c r="L144" s="485"/>
      <c r="M144" s="476">
        <f t="shared" si="63"/>
        <v>0</v>
      </c>
      <c r="N144" s="485"/>
      <c r="O144" s="476">
        <f t="shared" si="64"/>
        <v>0</v>
      </c>
      <c r="P144" s="476">
        <f t="shared" si="65"/>
        <v>0</v>
      </c>
    </row>
    <row r="145" spans="2:16" ht="12.5">
      <c r="B145" s="160" t="str">
        <f t="shared" si="37"/>
        <v/>
      </c>
      <c r="C145" s="470">
        <f>IF(D93="","-",+C144+1)</f>
        <v>2054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60"/>
        <v>0</v>
      </c>
      <c r="G145" s="483">
        <f t="shared" si="61"/>
        <v>0</v>
      </c>
      <c r="H145" s="484">
        <f t="shared" si="58"/>
        <v>0</v>
      </c>
      <c r="I145" s="540">
        <f t="shared" si="59"/>
        <v>0</v>
      </c>
      <c r="J145" s="476">
        <f t="shared" si="62"/>
        <v>0</v>
      </c>
      <c r="K145" s="476"/>
      <c r="L145" s="485"/>
      <c r="M145" s="476">
        <f t="shared" si="63"/>
        <v>0</v>
      </c>
      <c r="N145" s="485"/>
      <c r="O145" s="476">
        <f t="shared" si="64"/>
        <v>0</v>
      </c>
      <c r="P145" s="476">
        <f t="shared" si="65"/>
        <v>0</v>
      </c>
    </row>
    <row r="146" spans="2:16" ht="12.5">
      <c r="B146" s="160" t="str">
        <f t="shared" si="37"/>
        <v/>
      </c>
      <c r="C146" s="470">
        <f>IF(D93="","-",+C145+1)</f>
        <v>2055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60"/>
        <v>0</v>
      </c>
      <c r="G146" s="483">
        <f t="shared" si="61"/>
        <v>0</v>
      </c>
      <c r="H146" s="484">
        <f t="shared" si="58"/>
        <v>0</v>
      </c>
      <c r="I146" s="540">
        <f t="shared" si="59"/>
        <v>0</v>
      </c>
      <c r="J146" s="476">
        <f t="shared" si="62"/>
        <v>0</v>
      </c>
      <c r="K146" s="476"/>
      <c r="L146" s="485"/>
      <c r="M146" s="476">
        <f t="shared" si="63"/>
        <v>0</v>
      </c>
      <c r="N146" s="485"/>
      <c r="O146" s="476">
        <f t="shared" si="64"/>
        <v>0</v>
      </c>
      <c r="P146" s="476">
        <f t="shared" si="65"/>
        <v>0</v>
      </c>
    </row>
    <row r="147" spans="2:16" ht="12.5">
      <c r="B147" s="160" t="str">
        <f t="shared" si="37"/>
        <v/>
      </c>
      <c r="C147" s="470">
        <f>IF(D93="","-",+C146+1)</f>
        <v>2056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60"/>
        <v>0</v>
      </c>
      <c r="G147" s="483">
        <f t="shared" si="61"/>
        <v>0</v>
      </c>
      <c r="H147" s="484">
        <f t="shared" si="58"/>
        <v>0</v>
      </c>
      <c r="I147" s="540">
        <f t="shared" si="59"/>
        <v>0</v>
      </c>
      <c r="J147" s="476">
        <f t="shared" si="62"/>
        <v>0</v>
      </c>
      <c r="K147" s="476"/>
      <c r="L147" s="485"/>
      <c r="M147" s="476">
        <f t="shared" si="63"/>
        <v>0</v>
      </c>
      <c r="N147" s="485"/>
      <c r="O147" s="476">
        <f t="shared" si="64"/>
        <v>0</v>
      </c>
      <c r="P147" s="476">
        <f t="shared" si="65"/>
        <v>0</v>
      </c>
    </row>
    <row r="148" spans="2:16" ht="12.5">
      <c r="B148" s="160" t="str">
        <f t="shared" si="37"/>
        <v/>
      </c>
      <c r="C148" s="470">
        <f>IF(D93="","-",+C147+1)</f>
        <v>2057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60"/>
        <v>0</v>
      </c>
      <c r="G148" s="483">
        <f t="shared" si="61"/>
        <v>0</v>
      </c>
      <c r="H148" s="484">
        <f t="shared" si="58"/>
        <v>0</v>
      </c>
      <c r="I148" s="540">
        <f t="shared" si="59"/>
        <v>0</v>
      </c>
      <c r="J148" s="476">
        <f t="shared" si="62"/>
        <v>0</v>
      </c>
      <c r="K148" s="476"/>
      <c r="L148" s="485"/>
      <c r="M148" s="476">
        <f t="shared" si="63"/>
        <v>0</v>
      </c>
      <c r="N148" s="485"/>
      <c r="O148" s="476">
        <f t="shared" si="64"/>
        <v>0</v>
      </c>
      <c r="P148" s="476">
        <f t="shared" si="65"/>
        <v>0</v>
      </c>
    </row>
    <row r="149" spans="2:16" ht="12.5">
      <c r="B149" s="160" t="str">
        <f t="shared" si="37"/>
        <v/>
      </c>
      <c r="C149" s="470">
        <f>IF(D93="","-",+C148+1)</f>
        <v>2058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60"/>
        <v>0</v>
      </c>
      <c r="G149" s="483">
        <f t="shared" si="61"/>
        <v>0</v>
      </c>
      <c r="H149" s="484">
        <f t="shared" si="58"/>
        <v>0</v>
      </c>
      <c r="I149" s="540">
        <f t="shared" si="59"/>
        <v>0</v>
      </c>
      <c r="J149" s="476">
        <f t="shared" si="62"/>
        <v>0</v>
      </c>
      <c r="K149" s="476"/>
      <c r="L149" s="485"/>
      <c r="M149" s="476">
        <f t="shared" si="63"/>
        <v>0</v>
      </c>
      <c r="N149" s="485"/>
      <c r="O149" s="476">
        <f t="shared" si="64"/>
        <v>0</v>
      </c>
      <c r="P149" s="476">
        <f t="shared" si="65"/>
        <v>0</v>
      </c>
    </row>
    <row r="150" spans="2:16" ht="12.5">
      <c r="B150" s="160" t="str">
        <f t="shared" si="37"/>
        <v/>
      </c>
      <c r="C150" s="470">
        <f>IF(D93="","-",+C149+1)</f>
        <v>2059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60"/>
        <v>0</v>
      </c>
      <c r="G150" s="483">
        <f t="shared" si="61"/>
        <v>0</v>
      </c>
      <c r="H150" s="484">
        <f t="shared" si="58"/>
        <v>0</v>
      </c>
      <c r="I150" s="540">
        <f t="shared" si="59"/>
        <v>0</v>
      </c>
      <c r="J150" s="476">
        <f t="shared" si="62"/>
        <v>0</v>
      </c>
      <c r="K150" s="476"/>
      <c r="L150" s="485"/>
      <c r="M150" s="476">
        <f t="shared" si="63"/>
        <v>0</v>
      </c>
      <c r="N150" s="485"/>
      <c r="O150" s="476">
        <f t="shared" si="64"/>
        <v>0</v>
      </c>
      <c r="P150" s="476">
        <f t="shared" si="65"/>
        <v>0</v>
      </c>
    </row>
    <row r="151" spans="2:16" ht="12.5">
      <c r="B151" s="160" t="str">
        <f t="shared" si="37"/>
        <v/>
      </c>
      <c r="C151" s="470">
        <f>IF(D93="","-",+C150+1)</f>
        <v>2060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60"/>
        <v>0</v>
      </c>
      <c r="G151" s="483">
        <f t="shared" si="61"/>
        <v>0</v>
      </c>
      <c r="H151" s="484">
        <f t="shared" si="58"/>
        <v>0</v>
      </c>
      <c r="I151" s="540">
        <f t="shared" si="59"/>
        <v>0</v>
      </c>
      <c r="J151" s="476">
        <f t="shared" si="62"/>
        <v>0</v>
      </c>
      <c r="K151" s="476"/>
      <c r="L151" s="485"/>
      <c r="M151" s="476">
        <f t="shared" si="63"/>
        <v>0</v>
      </c>
      <c r="N151" s="485"/>
      <c r="O151" s="476">
        <f t="shared" si="64"/>
        <v>0</v>
      </c>
      <c r="P151" s="476">
        <f t="shared" si="65"/>
        <v>0</v>
      </c>
    </row>
    <row r="152" spans="2:16" ht="12.5">
      <c r="B152" s="160" t="str">
        <f t="shared" si="37"/>
        <v/>
      </c>
      <c r="C152" s="470">
        <f>IF(D93="","-",+C151+1)</f>
        <v>2061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60"/>
        <v>0</v>
      </c>
      <c r="G152" s="483">
        <f t="shared" si="61"/>
        <v>0</v>
      </c>
      <c r="H152" s="484">
        <f t="shared" si="58"/>
        <v>0</v>
      </c>
      <c r="I152" s="540">
        <f t="shared" si="59"/>
        <v>0</v>
      </c>
      <c r="J152" s="476">
        <f t="shared" si="62"/>
        <v>0</v>
      </c>
      <c r="K152" s="476"/>
      <c r="L152" s="485"/>
      <c r="M152" s="476">
        <f t="shared" si="63"/>
        <v>0</v>
      </c>
      <c r="N152" s="485"/>
      <c r="O152" s="476">
        <f t="shared" si="64"/>
        <v>0</v>
      </c>
      <c r="P152" s="476">
        <f t="shared" si="65"/>
        <v>0</v>
      </c>
    </row>
    <row r="153" spans="2:16" ht="12.5">
      <c r="B153" s="160" t="str">
        <f t="shared" si="37"/>
        <v/>
      </c>
      <c r="C153" s="470">
        <f>IF(D93="","-",+C152+1)</f>
        <v>2062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60"/>
        <v>0</v>
      </c>
      <c r="G153" s="483">
        <f t="shared" si="61"/>
        <v>0</v>
      </c>
      <c r="H153" s="484">
        <f t="shared" si="58"/>
        <v>0</v>
      </c>
      <c r="I153" s="540">
        <f t="shared" si="59"/>
        <v>0</v>
      </c>
      <c r="J153" s="476">
        <f t="shared" si="62"/>
        <v>0</v>
      </c>
      <c r="K153" s="476"/>
      <c r="L153" s="485"/>
      <c r="M153" s="476">
        <f t="shared" si="63"/>
        <v>0</v>
      </c>
      <c r="N153" s="485"/>
      <c r="O153" s="476">
        <f t="shared" si="64"/>
        <v>0</v>
      </c>
      <c r="P153" s="476">
        <f t="shared" si="65"/>
        <v>0</v>
      </c>
    </row>
    <row r="154" spans="2:16" ht="13" thickBot="1">
      <c r="B154" s="160" t="str">
        <f t="shared" si="37"/>
        <v/>
      </c>
      <c r="C154" s="487">
        <f>IF(D93="","-",+C153+1)</f>
        <v>2063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60"/>
        <v>0</v>
      </c>
      <c r="G154" s="488">
        <f t="shared" si="61"/>
        <v>0</v>
      </c>
      <c r="H154" s="490">
        <f t="shared" ref="H154" si="66">+J$94*G154+E154</f>
        <v>0</v>
      </c>
      <c r="I154" s="543">
        <f t="shared" ref="I154" si="67">+J$95*G154+E154</f>
        <v>0</v>
      </c>
      <c r="J154" s="493">
        <f t="shared" si="62"/>
        <v>0</v>
      </c>
      <c r="K154" s="476"/>
      <c r="L154" s="492"/>
      <c r="M154" s="493">
        <f t="shared" si="63"/>
        <v>0</v>
      </c>
      <c r="N154" s="492"/>
      <c r="O154" s="493">
        <f t="shared" si="64"/>
        <v>0</v>
      </c>
      <c r="P154" s="493">
        <f t="shared" si="65"/>
        <v>0</v>
      </c>
    </row>
    <row r="155" spans="2:16" ht="12.5">
      <c r="C155" s="345" t="s">
        <v>77</v>
      </c>
      <c r="D155" s="346"/>
      <c r="E155" s="346">
        <f>SUM(E99:E154)</f>
        <v>1520502</v>
      </c>
      <c r="F155" s="346"/>
      <c r="G155" s="346"/>
      <c r="H155" s="346">
        <f>SUM(H99:H154)</f>
        <v>5572269.7865142645</v>
      </c>
      <c r="I155" s="346">
        <f>SUM(I99:I154)</f>
        <v>5572269.7865142645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 ht="12.5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 ht="12.5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 ht="13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 ht="13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 ht="13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 ht="13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7.5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My84LzIwMjIgMzoyMzox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MToyOToy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C5F1F881-7F06-4AB5-9F41-E5D34AB4B29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9BFBF35-EE19-4912-82A4-C15CC21EB3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28</vt:i4>
      </vt:variant>
    </vt:vector>
  </HeadingPairs>
  <TitlesOfParts>
    <vt:vector size="63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P.029</vt:lpstr>
      <vt:lpstr>P.030</vt:lpstr>
      <vt:lpstr>P.031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Allyson L Keaton</cp:lastModifiedBy>
  <cp:lastPrinted>2023-05-23T12:11:45Z</cp:lastPrinted>
  <dcterms:created xsi:type="dcterms:W3CDTF">2009-05-11T14:02:48Z</dcterms:created>
  <dcterms:modified xsi:type="dcterms:W3CDTF">2024-05-24T14:59:32Z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b2c80a7b-f289-41ae-b128-3b3f639b0f35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{C5F1F881-7F06-4AB5-9F41-E5D34AB4B292}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